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60" windowWidth="18690" windowHeight="10950" tabRatio="714" activeTab="2"/>
  </bookViews>
  <sheets>
    <sheet name="2014-15 budget " sheetId="6" r:id="rId1"/>
    <sheet name="2014-15 MYEFO " sheetId="7" r:id="rId2"/>
    <sheet name="2015-16 Budget" sheetId="10" r:id="rId3"/>
    <sheet name="ODA-GNI time series" sheetId="8" r:id="rId4"/>
    <sheet name="Historic cuts comparison" sheetId="9" r:id="rId5"/>
  </sheets>
  <calcPr calcId="145621" calcOnSave="0"/>
</workbook>
</file>

<file path=xl/calcChain.xml><?xml version="1.0" encoding="utf-8"?>
<calcChain xmlns="http://schemas.openxmlformats.org/spreadsheetml/2006/main">
  <c r="E8" i="10" l="1"/>
  <c r="E3" i="10"/>
  <c r="E4" i="10"/>
  <c r="F4" i="10"/>
  <c r="G4" i="10"/>
  <c r="E5" i="10"/>
  <c r="F5" i="10"/>
  <c r="G5" i="10"/>
  <c r="E6" i="10"/>
  <c r="F6" i="10"/>
  <c r="G6" i="10"/>
  <c r="E7" i="10"/>
  <c r="F7" i="10"/>
  <c r="G7" i="10"/>
  <c r="F8" i="10"/>
  <c r="G8" i="10"/>
  <c r="C66" i="8" l="1"/>
  <c r="B88" i="8"/>
  <c r="B51" i="8"/>
  <c r="B50" i="8"/>
  <c r="B49" i="8"/>
  <c r="B48" i="8"/>
  <c r="B47" i="8"/>
  <c r="B46" i="8"/>
  <c r="W5" i="10"/>
  <c r="Q9" i="10"/>
  <c r="Q8" i="10"/>
  <c r="Q4" i="10"/>
  <c r="Q5" i="10"/>
  <c r="E9" i="10"/>
  <c r="G9" i="10" s="1"/>
  <c r="F9" i="10"/>
  <c r="AA9" i="10" l="1"/>
  <c r="L6" i="10"/>
  <c r="AA4" i="10"/>
  <c r="AA5" i="10"/>
  <c r="AA6" i="10"/>
  <c r="AA7" i="10"/>
  <c r="AA8" i="10"/>
  <c r="AA3" i="10"/>
  <c r="Z4" i="10"/>
  <c r="F47" i="8" s="1"/>
  <c r="Z5" i="10"/>
  <c r="F48" i="8" s="1"/>
  <c r="Z3" i="10"/>
  <c r="D49" i="8" l="1"/>
  <c r="Q7" i="10"/>
  <c r="Q6" i="10"/>
  <c r="K6" i="10"/>
  <c r="W6" i="10"/>
  <c r="I4" i="10"/>
  <c r="I5" i="10" s="1"/>
  <c r="W7" i="10" l="1"/>
  <c r="Z6" i="10"/>
  <c r="F49" i="8" s="1"/>
  <c r="R6" i="10"/>
  <c r="E6" i="6"/>
  <c r="I6" i="10"/>
  <c r="J3" i="10" s="1"/>
  <c r="I8" i="7"/>
  <c r="I7" i="7"/>
  <c r="I6" i="7"/>
  <c r="I5" i="7"/>
  <c r="I4" i="7"/>
  <c r="I3" i="7"/>
  <c r="G4" i="7"/>
  <c r="G5" i="7" s="1"/>
  <c r="W8" i="10" l="1"/>
  <c r="Z7" i="10"/>
  <c r="F50" i="8" s="1"/>
  <c r="I7" i="10"/>
  <c r="K3" i="10"/>
  <c r="L3" i="10" s="1"/>
  <c r="J4" i="10"/>
  <c r="K4" i="10" s="1"/>
  <c r="L4" i="10" s="1"/>
  <c r="T6" i="10"/>
  <c r="J5" i="10"/>
  <c r="K5" i="10" s="1"/>
  <c r="L5" i="10" s="1"/>
  <c r="G6" i="7"/>
  <c r="H5" i="7"/>
  <c r="H4" i="7"/>
  <c r="I6" i="8"/>
  <c r="F9" i="7"/>
  <c r="D43" i="8" s="1"/>
  <c r="J3" i="7"/>
  <c r="P3" i="7"/>
  <c r="P6" i="7"/>
  <c r="P5" i="7"/>
  <c r="P4" i="7"/>
  <c r="D46" i="8" l="1"/>
  <c r="M6" i="10"/>
  <c r="M5" i="10"/>
  <c r="D48" i="8"/>
  <c r="D47" i="8"/>
  <c r="M4" i="10"/>
  <c r="N4" i="10" s="1"/>
  <c r="O4" i="10"/>
  <c r="W9" i="10"/>
  <c r="Z9" i="10" s="1"/>
  <c r="Z8" i="10"/>
  <c r="F51" i="8" s="1"/>
  <c r="E3" i="6"/>
  <c r="R3" i="10"/>
  <c r="S6" i="10" s="1"/>
  <c r="E5" i="6"/>
  <c r="R5" i="10"/>
  <c r="S5" i="10" s="1"/>
  <c r="E4" i="6"/>
  <c r="R4" i="10"/>
  <c r="N6" i="10"/>
  <c r="I8" i="10"/>
  <c r="J7" i="10"/>
  <c r="K7" i="10" s="1"/>
  <c r="L7" i="10" s="1"/>
  <c r="D50" i="8" s="1"/>
  <c r="G7" i="7"/>
  <c r="H3" i="7"/>
  <c r="R3" i="7"/>
  <c r="D23" i="8"/>
  <c r="D37" i="8"/>
  <c r="D29" i="8"/>
  <c r="D21" i="8"/>
  <c r="D13" i="8"/>
  <c r="D9" i="8"/>
  <c r="D36" i="8"/>
  <c r="D28" i="8"/>
  <c r="D20" i="8"/>
  <c r="D12" i="8"/>
  <c r="F10" i="7"/>
  <c r="D44" i="8"/>
  <c r="D35" i="8"/>
  <c r="D27" i="8"/>
  <c r="D19" i="8"/>
  <c r="D11" i="8"/>
  <c r="D39" i="8"/>
  <c r="D31" i="8"/>
  <c r="D15" i="8"/>
  <c r="D7" i="8"/>
  <c r="D38" i="8"/>
  <c r="D30" i="8"/>
  <c r="D22" i="8"/>
  <c r="D14" i="8"/>
  <c r="D8" i="8"/>
  <c r="D42" i="8"/>
  <c r="D34" i="8"/>
  <c r="D26" i="8"/>
  <c r="D18" i="8"/>
  <c r="D10" i="8"/>
  <c r="D41" i="8"/>
  <c r="D33" i="8"/>
  <c r="D25" i="8"/>
  <c r="D17" i="8"/>
  <c r="D5" i="8"/>
  <c r="B54" i="8" s="1"/>
  <c r="D40" i="8"/>
  <c r="D32" i="8"/>
  <c r="D24" i="8"/>
  <c r="D16" i="8"/>
  <c r="D6" i="8"/>
  <c r="D45" i="8"/>
  <c r="S4" i="10" l="1"/>
  <c r="T4" i="10"/>
  <c r="T3" i="10"/>
  <c r="V6" i="10" s="1"/>
  <c r="J8" i="10"/>
  <c r="I9" i="10"/>
  <c r="E7" i="6"/>
  <c r="R7" i="10"/>
  <c r="S7" i="10" s="1"/>
  <c r="O5" i="10"/>
  <c r="N5" i="10"/>
  <c r="O6" i="10"/>
  <c r="T5" i="10"/>
  <c r="G8" i="7"/>
  <c r="H8" i="7" s="1"/>
  <c r="H7" i="7"/>
  <c r="C46" i="8"/>
  <c r="X3" i="7"/>
  <c r="V4" i="10" l="1"/>
  <c r="U4" i="10"/>
  <c r="U5" i="10"/>
  <c r="V5" i="10"/>
  <c r="U6" i="10"/>
  <c r="K9" i="10"/>
  <c r="J9" i="10"/>
  <c r="K8" i="10"/>
  <c r="L8" i="10" s="1"/>
  <c r="O7" i="10"/>
  <c r="M7" i="10"/>
  <c r="N7" i="10" s="1"/>
  <c r="T7" i="10"/>
  <c r="V7" i="10" s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6" i="8"/>
  <c r="H21" i="8"/>
  <c r="U5" i="7"/>
  <c r="U6" i="7" s="1"/>
  <c r="R9" i="10" l="1"/>
  <c r="L9" i="10"/>
  <c r="D51" i="8"/>
  <c r="M8" i="10"/>
  <c r="O8" i="10"/>
  <c r="R8" i="10"/>
  <c r="S8" i="10" s="1"/>
  <c r="E8" i="6"/>
  <c r="U7" i="10"/>
  <c r="U7" i="7"/>
  <c r="U8" i="7" s="1"/>
  <c r="S8" i="6"/>
  <c r="S7" i="6"/>
  <c r="S6" i="6"/>
  <c r="S5" i="6"/>
  <c r="S4" i="6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C5" i="7"/>
  <c r="C6" i="7"/>
  <c r="J6" i="7" s="1"/>
  <c r="C7" i="7"/>
  <c r="J7" i="7" s="1"/>
  <c r="C8" i="7"/>
  <c r="M9" i="10" l="1"/>
  <c r="N9" i="10" s="1"/>
  <c r="O9" i="10"/>
  <c r="S9" i="10"/>
  <c r="T9" i="10"/>
  <c r="V9" i="10" s="1"/>
  <c r="T8" i="10"/>
  <c r="N8" i="10"/>
  <c r="J5" i="7"/>
  <c r="X5" i="7"/>
  <c r="X8" i="7"/>
  <c r="C50" i="8"/>
  <c r="E7" i="7"/>
  <c r="C49" i="8"/>
  <c r="E8" i="7"/>
  <c r="G16" i="9"/>
  <c r="D16" i="9"/>
  <c r="G10" i="9"/>
  <c r="G11" i="9"/>
  <c r="G12" i="9"/>
  <c r="G13" i="9"/>
  <c r="G14" i="9"/>
  <c r="G9" i="9"/>
  <c r="C10" i="9"/>
  <c r="C11" i="9"/>
  <c r="C12" i="9"/>
  <c r="C13" i="9"/>
  <c r="C14" i="9"/>
  <c r="C9" i="9"/>
  <c r="G3" i="9"/>
  <c r="G4" i="9"/>
  <c r="G5" i="9"/>
  <c r="G6" i="9"/>
  <c r="G7" i="9"/>
  <c r="G2" i="9"/>
  <c r="H4" i="9"/>
  <c r="C3" i="9"/>
  <c r="C4" i="9"/>
  <c r="C5" i="9"/>
  <c r="C6" i="9"/>
  <c r="C7" i="9"/>
  <c r="C2" i="9"/>
  <c r="C55" i="8"/>
  <c r="C4" i="7"/>
  <c r="J4" i="7" s="1"/>
  <c r="U9" i="10" l="1"/>
  <c r="V8" i="10"/>
  <c r="U8" i="10"/>
  <c r="E50" i="8"/>
  <c r="R4" i="7"/>
  <c r="C47" i="8"/>
  <c r="H3" i="9"/>
  <c r="C48" i="8"/>
  <c r="A55" i="8"/>
  <c r="A56" i="8"/>
  <c r="C56" i="8"/>
  <c r="A57" i="8"/>
  <c r="C57" i="8"/>
  <c r="A58" i="8"/>
  <c r="C58" i="8"/>
  <c r="A59" i="8"/>
  <c r="C59" i="8"/>
  <c r="A60" i="8"/>
  <c r="C60" i="8"/>
  <c r="A61" i="8"/>
  <c r="C61" i="8"/>
  <c r="A62" i="8"/>
  <c r="C62" i="8"/>
  <c r="A63" i="8"/>
  <c r="C63" i="8"/>
  <c r="A64" i="8"/>
  <c r="C64" i="8"/>
  <c r="A65" i="8"/>
  <c r="C65" i="8"/>
  <c r="A66" i="8"/>
  <c r="A67" i="8"/>
  <c r="C67" i="8"/>
  <c r="A68" i="8"/>
  <c r="C68" i="8"/>
  <c r="A69" i="8"/>
  <c r="C69" i="8"/>
  <c r="A70" i="8"/>
  <c r="C70" i="8"/>
  <c r="A71" i="8"/>
  <c r="C71" i="8"/>
  <c r="A72" i="8"/>
  <c r="C72" i="8"/>
  <c r="A73" i="8"/>
  <c r="C73" i="8"/>
  <c r="A74" i="8"/>
  <c r="C74" i="8"/>
  <c r="A75" i="8"/>
  <c r="C75" i="8"/>
  <c r="A76" i="8"/>
  <c r="C76" i="8"/>
  <c r="A77" i="8"/>
  <c r="C77" i="8"/>
  <c r="A78" i="8"/>
  <c r="C78" i="8"/>
  <c r="A79" i="8"/>
  <c r="C79" i="8"/>
  <c r="A80" i="8"/>
  <c r="C80" i="8"/>
  <c r="A81" i="8"/>
  <c r="C81" i="8"/>
  <c r="A82" i="8"/>
  <c r="C82" i="8"/>
  <c r="A83" i="8"/>
  <c r="C83" i="8"/>
  <c r="A84" i="8"/>
  <c r="C84" i="8"/>
  <c r="A85" i="8"/>
  <c r="C85" i="8"/>
  <c r="A86" i="8"/>
  <c r="C86" i="8"/>
  <c r="A87" i="8"/>
  <c r="C87" i="8"/>
  <c r="A88" i="8"/>
  <c r="C88" i="8"/>
  <c r="A89" i="8"/>
  <c r="C89" i="8"/>
  <c r="A90" i="8"/>
  <c r="C90" i="8"/>
  <c r="A91" i="8"/>
  <c r="C91" i="8"/>
  <c r="A92" i="8"/>
  <c r="C92" i="8"/>
  <c r="A93" i="8"/>
  <c r="C93" i="8"/>
  <c r="A94" i="8"/>
  <c r="C94" i="8"/>
  <c r="A95" i="8"/>
  <c r="C95" i="8"/>
  <c r="A96" i="8"/>
  <c r="A97" i="8"/>
  <c r="A98" i="8"/>
  <c r="A99" i="8"/>
  <c r="A100" i="8"/>
  <c r="C54" i="8"/>
  <c r="A54" i="8"/>
  <c r="H31" i="8"/>
  <c r="C26" i="9" s="1"/>
  <c r="C25" i="9"/>
  <c r="D4" i="7"/>
  <c r="D3" i="7"/>
  <c r="T4" i="7" l="1"/>
  <c r="S4" i="7"/>
  <c r="J6" i="8"/>
  <c r="J34" i="8"/>
  <c r="G46" i="8"/>
  <c r="J22" i="8"/>
  <c r="J18" i="8"/>
  <c r="J21" i="8"/>
  <c r="J23" i="8"/>
  <c r="J31" i="8"/>
  <c r="J20" i="8"/>
  <c r="J30" i="8"/>
  <c r="B64" i="8"/>
  <c r="J15" i="8"/>
  <c r="B65" i="8"/>
  <c r="J16" i="8"/>
  <c r="C16" i="9"/>
  <c r="I46" i="8"/>
  <c r="B55" i="8"/>
  <c r="B63" i="8"/>
  <c r="J14" i="8"/>
  <c r="B87" i="8"/>
  <c r="J38" i="8"/>
  <c r="B56" i="8"/>
  <c r="J7" i="8"/>
  <c r="B73" i="8"/>
  <c r="J24" i="8"/>
  <c r="J32" i="8"/>
  <c r="B89" i="8"/>
  <c r="J40" i="8"/>
  <c r="C19" i="9"/>
  <c r="I49" i="8"/>
  <c r="B58" i="8"/>
  <c r="J9" i="8"/>
  <c r="B66" i="8"/>
  <c r="J17" i="8"/>
  <c r="B74" i="8"/>
  <c r="J25" i="8"/>
  <c r="J33" i="8"/>
  <c r="B90" i="8"/>
  <c r="J41" i="8"/>
  <c r="C21" i="9"/>
  <c r="I51" i="8"/>
  <c r="C20" i="9"/>
  <c r="I50" i="8"/>
  <c r="B59" i="8"/>
  <c r="J10" i="8"/>
  <c r="B75" i="8"/>
  <c r="J26" i="8"/>
  <c r="C17" i="9"/>
  <c r="I47" i="8"/>
  <c r="B60" i="8"/>
  <c r="J11" i="8"/>
  <c r="J19" i="8"/>
  <c r="B76" i="8"/>
  <c r="J27" i="8"/>
  <c r="B84" i="8"/>
  <c r="J35" i="8"/>
  <c r="B92" i="8"/>
  <c r="J43" i="8"/>
  <c r="C18" i="9"/>
  <c r="I48" i="8"/>
  <c r="B91" i="8"/>
  <c r="J42" i="8"/>
  <c r="B95" i="8"/>
  <c r="J46" i="8"/>
  <c r="B61" i="8"/>
  <c r="J12" i="8"/>
  <c r="B77" i="8"/>
  <c r="J28" i="8"/>
  <c r="B85" i="8"/>
  <c r="J36" i="8"/>
  <c r="B93" i="8"/>
  <c r="J44" i="8"/>
  <c r="J39" i="8"/>
  <c r="B57" i="8"/>
  <c r="J8" i="8"/>
  <c r="B62" i="8"/>
  <c r="J13" i="8"/>
  <c r="J29" i="8"/>
  <c r="B86" i="8"/>
  <c r="J37" i="8"/>
  <c r="B94" i="8"/>
  <c r="J45" i="8"/>
  <c r="B69" i="8"/>
  <c r="D4" i="9"/>
  <c r="B78" i="8"/>
  <c r="D9" i="9"/>
  <c r="B68" i="8"/>
  <c r="D3" i="9"/>
  <c r="B71" i="8"/>
  <c r="D6" i="9"/>
  <c r="B79" i="8"/>
  <c r="D10" i="9"/>
  <c r="B72" i="8"/>
  <c r="D7" i="9"/>
  <c r="B80" i="8"/>
  <c r="D11" i="9"/>
  <c r="B70" i="8"/>
  <c r="D5" i="9"/>
  <c r="B81" i="8"/>
  <c r="D12" i="9"/>
  <c r="B82" i="8"/>
  <c r="D13" i="9"/>
  <c r="B67" i="8"/>
  <c r="D2" i="9"/>
  <c r="B83" i="8"/>
  <c r="D14" i="9"/>
  <c r="E46" i="8"/>
  <c r="D9" i="7"/>
  <c r="H10" i="9"/>
  <c r="Y8" i="7" l="1"/>
  <c r="O8" i="7"/>
  <c r="Y7" i="7"/>
  <c r="O7" i="7"/>
  <c r="Y6" i="7"/>
  <c r="O6" i="7"/>
  <c r="E6" i="7"/>
  <c r="Y5" i="7"/>
  <c r="O5" i="7"/>
  <c r="E5" i="7"/>
  <c r="Y4" i="7"/>
  <c r="X4" i="7"/>
  <c r="O4" i="7"/>
  <c r="E4" i="7"/>
  <c r="Y3" i="7"/>
  <c r="H14" i="9"/>
  <c r="H13" i="9"/>
  <c r="H12" i="9"/>
  <c r="H11" i="9"/>
  <c r="H6" i="9"/>
  <c r="H7" i="9"/>
  <c r="H5" i="9"/>
  <c r="E14" i="9"/>
  <c r="F14" i="9" s="1"/>
  <c r="E13" i="9"/>
  <c r="F13" i="9" s="1"/>
  <c r="E12" i="9"/>
  <c r="F12" i="9" s="1"/>
  <c r="E11" i="9"/>
  <c r="F11" i="9" s="1"/>
  <c r="E10" i="9"/>
  <c r="E4" i="9"/>
  <c r="F4" i="9" s="1"/>
  <c r="E5" i="9"/>
  <c r="F5" i="9" s="1"/>
  <c r="E6" i="9"/>
  <c r="F6" i="9" s="1"/>
  <c r="E7" i="9"/>
  <c r="F7" i="9" s="1"/>
  <c r="E3" i="9"/>
  <c r="G17" i="9" l="1"/>
  <c r="H17" i="9" s="1"/>
  <c r="C96" i="8"/>
  <c r="B26" i="9"/>
  <c r="F10" i="9"/>
  <c r="G18" i="9"/>
  <c r="C97" i="8"/>
  <c r="K5" i="7"/>
  <c r="D18" i="9"/>
  <c r="B25" i="9"/>
  <c r="F3" i="9"/>
  <c r="D17" i="9"/>
  <c r="E17" i="9" s="1"/>
  <c r="M4" i="7"/>
  <c r="K4" i="7"/>
  <c r="L4" i="7" s="1"/>
  <c r="K4" i="6"/>
  <c r="K5" i="6"/>
  <c r="K6" i="6"/>
  <c r="K7" i="6"/>
  <c r="K8" i="6"/>
  <c r="C4" i="6"/>
  <c r="T3" i="6"/>
  <c r="T4" i="6"/>
  <c r="L3" i="6"/>
  <c r="N3" i="6" s="1"/>
  <c r="F4" i="6"/>
  <c r="G4" i="6" s="1"/>
  <c r="H4" i="6" s="1"/>
  <c r="T8" i="6"/>
  <c r="T7" i="6"/>
  <c r="T6" i="6"/>
  <c r="C6" i="6"/>
  <c r="T5" i="6"/>
  <c r="C5" i="6"/>
  <c r="I4" i="6"/>
  <c r="H18" i="9" l="1"/>
  <c r="B97" i="8"/>
  <c r="G48" i="8"/>
  <c r="J47" i="8"/>
  <c r="G47" i="8"/>
  <c r="J48" i="8"/>
  <c r="F17" i="9"/>
  <c r="E18" i="9"/>
  <c r="F18" i="9" s="1"/>
  <c r="E47" i="8"/>
  <c r="B96" i="8"/>
  <c r="E48" i="8"/>
  <c r="Q4" i="7"/>
  <c r="X7" i="7"/>
  <c r="R5" i="7"/>
  <c r="Q5" i="7"/>
  <c r="M5" i="7"/>
  <c r="L5" i="7"/>
  <c r="L4" i="6"/>
  <c r="S5" i="7" l="1"/>
  <c r="T5" i="7"/>
  <c r="G21" i="9"/>
  <c r="C100" i="8"/>
  <c r="D19" i="9"/>
  <c r="E19" i="9" s="1"/>
  <c r="G20" i="9"/>
  <c r="C99" i="8"/>
  <c r="R6" i="7"/>
  <c r="Q6" i="7"/>
  <c r="M6" i="7"/>
  <c r="K6" i="7"/>
  <c r="L6" i="7" s="1"/>
  <c r="P7" i="7"/>
  <c r="N4" i="6"/>
  <c r="O4" i="6" s="1"/>
  <c r="M4" i="6"/>
  <c r="P4" i="6"/>
  <c r="L5" i="6"/>
  <c r="M5" i="6" s="1"/>
  <c r="F5" i="6"/>
  <c r="P8" i="7" l="1"/>
  <c r="J8" i="7"/>
  <c r="J49" i="8"/>
  <c r="G49" i="8"/>
  <c r="F19" i="9"/>
  <c r="D20" i="9"/>
  <c r="E20" i="9" s="1"/>
  <c r="F20" i="9" s="1"/>
  <c r="H21" i="9"/>
  <c r="R7" i="7"/>
  <c r="Q7" i="7"/>
  <c r="M7" i="7"/>
  <c r="K7" i="7"/>
  <c r="L7" i="7" s="1"/>
  <c r="J10" i="7"/>
  <c r="T6" i="7"/>
  <c r="S6" i="7"/>
  <c r="N5" i="6"/>
  <c r="L6" i="6"/>
  <c r="M6" i="6" s="1"/>
  <c r="F6" i="6"/>
  <c r="I5" i="6"/>
  <c r="G5" i="6"/>
  <c r="H5" i="6" s="1"/>
  <c r="E51" i="8" l="1"/>
  <c r="C51" i="8"/>
  <c r="G51" i="8" s="1"/>
  <c r="P9" i="7"/>
  <c r="R8" i="7"/>
  <c r="E49" i="8"/>
  <c r="B98" i="8"/>
  <c r="J50" i="8"/>
  <c r="H50" i="8"/>
  <c r="C27" i="9" s="1"/>
  <c r="G50" i="8"/>
  <c r="B27" i="9"/>
  <c r="D21" i="9"/>
  <c r="E21" i="9" s="1"/>
  <c r="F21" i="9" s="1"/>
  <c r="B99" i="8"/>
  <c r="J9" i="7"/>
  <c r="M8" i="7"/>
  <c r="K8" i="7"/>
  <c r="L8" i="7" s="1"/>
  <c r="Q8" i="7"/>
  <c r="T7" i="7"/>
  <c r="S7" i="7"/>
  <c r="O5" i="6"/>
  <c r="P5" i="6"/>
  <c r="I6" i="6"/>
  <c r="G6" i="6"/>
  <c r="H6" i="6" s="1"/>
  <c r="N6" i="6"/>
  <c r="L7" i="6"/>
  <c r="F7" i="6"/>
  <c r="J51" i="8" l="1"/>
  <c r="R9" i="7"/>
  <c r="T8" i="7"/>
  <c r="S8" i="7"/>
  <c r="N7" i="6"/>
  <c r="O7" i="6" s="1"/>
  <c r="M7" i="6"/>
  <c r="P7" i="6"/>
  <c r="P6" i="6"/>
  <c r="O6" i="6"/>
  <c r="L8" i="6"/>
  <c r="F8" i="6"/>
  <c r="F9" i="6" s="1"/>
  <c r="I7" i="6"/>
  <c r="G7" i="6"/>
  <c r="H7" i="6" s="1"/>
  <c r="B100" i="8" l="1"/>
  <c r="L9" i="6"/>
  <c r="M8" i="6"/>
  <c r="G8" i="6"/>
  <c r="H8" i="6" s="1"/>
  <c r="I8" i="6"/>
  <c r="N8" i="6"/>
  <c r="P8" i="6" s="1"/>
  <c r="N9" i="6" l="1"/>
  <c r="O8" i="6"/>
  <c r="X6" i="7" l="1"/>
  <c r="C98" i="8" l="1"/>
  <c r="G19" i="9"/>
  <c r="H20" i="9" l="1"/>
  <c r="H19" i="9"/>
</calcChain>
</file>

<file path=xl/sharedStrings.xml><?xml version="1.0" encoding="utf-8"?>
<sst xmlns="http://schemas.openxmlformats.org/spreadsheetml/2006/main" count="249" uniqueCount="135">
  <si>
    <t>Year</t>
  </si>
  <si>
    <t>2009-10</t>
  </si>
  <si>
    <t>2010-11</t>
  </si>
  <si>
    <t>2011-12</t>
  </si>
  <si>
    <t>2013-14</t>
  </si>
  <si>
    <t>2012-13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</si>
  <si>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</si>
  <si>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</si>
  <si>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</si>
  <si>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</si>
  <si>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</si>
  <si>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</si>
  <si>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</si>
  <si>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</si>
  <si>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</si>
  <si>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</si>
  <si>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</si>
  <si>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</si>
  <si>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</si>
  <si>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</si>
  <si>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</si>
  <si>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</si>
  <si>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</si>
  <si>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</si>
  <si>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</si>
  <si>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</si>
  <si>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</si>
  <si>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</si>
  <si>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</si>
  <si>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</si>
  <si>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</si>
  <si>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</si>
  <si>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</si>
  <si>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</si>
  <si>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</si>
  <si>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</si>
  <si>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</si>
  <si>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2006-07</t>
  </si>
  <si>
    <t>2007-08</t>
  </si>
  <si>
    <t>2008-09</t>
  </si>
  <si>
    <t>Unit</t>
  </si>
  <si>
    <t>2005-06</t>
  </si>
  <si>
    <t>2017-18</t>
  </si>
  <si>
    <t>2016-17</t>
  </si>
  <si>
    <t>2015-16</t>
  </si>
  <si>
    <t>2014-15</t>
  </si>
  <si>
    <t xml:space="preserve">http://aid.dfat.gov.au/budgets/Pages/default.aspx </t>
  </si>
  <si>
    <t xml:space="preserve">http://aid.dfat.gov.au/Publications/Pages/9266_4050_7172_5723_8240.aspx </t>
  </si>
  <si>
    <t xml:space="preserve">http://www.dfat.gov.au/dept/budget/2014_2015_highlights/ </t>
  </si>
  <si>
    <t xml:space="preserve">http://www.abs.gov.au/AUSSTATS/abs@.nsf/DetailsPage/5206.0Dec%202013?OpenDocument </t>
  </si>
  <si>
    <t>GNI from ABS Australian National Accounts Table 1</t>
  </si>
  <si>
    <t>Aid volumes from Green Book and Budget documents</t>
  </si>
  <si>
    <t xml:space="preserve">http://www.budget.gov.au/2014-15/content/bp1/download/BP1_consolidated_file.pdf </t>
  </si>
  <si>
    <t>Total expenditure from Budget documents Table 3: Australian Govenrment general government sector budget aggregates</t>
  </si>
  <si>
    <t xml:space="preserve">http://www.budget.gov.au/past_budgets.htm </t>
  </si>
  <si>
    <t>ODA</t>
  </si>
  <si>
    <t>CPI index</t>
  </si>
  <si>
    <t>Real aid</t>
  </si>
  <si>
    <t>Real cuts</t>
  </si>
  <si>
    <t>% real cuts cumulative</t>
  </si>
  <si>
    <t>% real cuts annual</t>
  </si>
  <si>
    <t>Total exp ($b)</t>
  </si>
  <si>
    <t>aid/exp</t>
  </si>
  <si>
    <t>Real exp ($b)</t>
  </si>
  <si>
    <t>Real non-aid</t>
  </si>
  <si>
    <t>% nominal exp growth</t>
  </si>
  <si>
    <t>Real non-aid increases</t>
  </si>
  <si>
    <t>% real non-aid growth</t>
  </si>
  <si>
    <t>Nominal change</t>
  </si>
  <si>
    <t>CPI (%)</t>
  </si>
  <si>
    <t>Sources</t>
  </si>
  <si>
    <t>Projected growth and CPI from Budget documents Table 2: Major economic parameters</t>
  </si>
  <si>
    <t>% real exp growth</t>
  </si>
  <si>
    <t>Growth forecast</t>
  </si>
  <si>
    <t>aid/gni</t>
  </si>
  <si>
    <t>Total Australian ODA</t>
  </si>
  <si>
    <t>Real Change Over Previous Year</t>
  </si>
  <si>
    <t>ODA/GNI Ratio</t>
  </si>
  <si>
    <t>$ million</t>
  </si>
  <si>
    <t>%</t>
  </si>
  <si>
    <t>Series Type</t>
  </si>
  <si>
    <t>Data Type</t>
  </si>
  <si>
    <t>Current Prices</t>
  </si>
  <si>
    <t>Percentage change</t>
  </si>
  <si>
    <t>Ratio</t>
  </si>
  <si>
    <t>1971-72</t>
  </si>
  <si>
    <t>n.a.</t>
  </si>
  <si>
    <t>1972-73</t>
  </si>
  <si>
    <t>1973-74</t>
  </si>
  <si>
    <t>Hawke-Keating</t>
  </si>
  <si>
    <t>Howard-Costello</t>
  </si>
  <si>
    <t>Abbott-Hockey</t>
  </si>
  <si>
    <t>Year-on-year cut</t>
  </si>
  <si>
    <t>ODA/GNI ratio change</t>
  </si>
  <si>
    <t>GNI ($b)</t>
  </si>
  <si>
    <t>Cumulative cuts</t>
  </si>
  <si>
    <t>1999-00</t>
  </si>
  <si>
    <t>as per MYEFO</t>
  </si>
  <si>
    <t>as per budget</t>
  </si>
  <si>
    <t>cuts</t>
  </si>
  <si>
    <t>Constant Prices 2011-12</t>
  </si>
  <si>
    <t>Total Australian ODA Constant Prices</t>
  </si>
  <si>
    <t>Aid/GNI (RHS)</t>
  </si>
  <si>
    <t>$ cuts (LHS)</t>
  </si>
  <si>
    <t>% cuts (RHS)</t>
  </si>
  <si>
    <t>Large cuts in aid</t>
  </si>
  <si>
    <t>Hawke-Keating (84/5-87/8)</t>
  </si>
  <si>
    <t>Howard-Costello (95/6-97/8)</t>
  </si>
  <si>
    <t>Real GDP growth forecast</t>
  </si>
  <si>
    <t>Nominal GDP growth forecast</t>
  </si>
  <si>
    <t>Year-to-year change</t>
  </si>
  <si>
    <t xml:space="preserve">http://www.budget.gov.au/2014-15/content/myefo/download/MYEFO_2014-15.pdf </t>
  </si>
  <si>
    <t>% change</t>
  </si>
  <si>
    <t>GNI ($'000)</t>
  </si>
  <si>
    <t>http://www.abs.gov.au/AUSSTATS/abs@.nsf/DetailsPage/5206.0Sep%202014?OpenDocument</t>
  </si>
  <si>
    <t>Abbott-Hockey (12/3-16/17)</t>
  </si>
  <si>
    <t>Historic aid volumes from Green Book and Budget documents</t>
  </si>
  <si>
    <t>Aid projections as per MYEFO, p. 164</t>
  </si>
  <si>
    <t>Revised CPI and growth projections as per MYEFO Table 1.2, p. 3</t>
  </si>
  <si>
    <t>Total expenditure as per MYEFO Table 3.5, p. 37</t>
  </si>
  <si>
    <t>Real aid (2015-16)</t>
  </si>
  <si>
    <t>Constant Prices 2015-16</t>
  </si>
  <si>
    <t>Constant (2015-16) Prices</t>
  </si>
  <si>
    <t>Total Australian ODA Constant Prices (2015-16)</t>
  </si>
  <si>
    <t>CPI index from ABS 6401.0 - Consumer Price Index, Australia, Tables 1 and 2 (as of June)</t>
  </si>
  <si>
    <t xml:space="preserve">http://www.abs.gov.au/AUSSTATS/abs@.nsf/DetailsPage/6401.0Mar%202015?OpenDocument </t>
  </si>
  <si>
    <t>2012-13 base</t>
  </si>
  <si>
    <t>2015-16 base</t>
  </si>
  <si>
    <t>CPI index (2015-16 base)</t>
  </si>
  <si>
    <t>as per 2015-16 budget</t>
  </si>
  <si>
    <t>as per 2014-15 budget</t>
  </si>
  <si>
    <t>as per 2014-15 MYEFO</t>
  </si>
  <si>
    <t>2018-19</t>
  </si>
  <si>
    <t>Cumulative nominal change</t>
  </si>
  <si>
    <t>2015-16 $A m (LHS)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</si>
</sst>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"/>
    <numFmt numFmtId="167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10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0" fontId="3" fillId="0" borderId="0" xfId="2"/>
    <xf numFmtId="164" fontId="0" fillId="0" borderId="0" xfId="1" applyNumberFormat="1" applyFont="1"/>
    <xf numFmtId="9" fontId="0" fillId="0" borderId="0" xfId="1" applyFont="1"/>
    <xf numFmtId="164" fontId="0" fillId="2" borderId="0" xfId="1" applyNumberFormat="1" applyFont="1" applyFill="1"/>
    <xf numFmtId="165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0" borderId="0" xfId="0" applyFont="1"/>
    <xf numFmtId="166" fontId="0" fillId="0" borderId="0" xfId="0" applyNumberFormat="1"/>
    <xf numFmtId="2" fontId="0" fillId="0" borderId="0" xfId="1" applyNumberFormat="1" applyFont="1"/>
    <xf numFmtId="9" fontId="0" fillId="0" borderId="0" xfId="0" applyNumberFormat="1"/>
    <xf numFmtId="0" fontId="0" fillId="0" borderId="0" xfId="0" applyFill="1"/>
    <xf numFmtId="164" fontId="0" fillId="0" borderId="0" xfId="1" applyNumberFormat="1" applyFont="1" applyFill="1"/>
    <xf numFmtId="167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</cellXfs>
  <cellStyles count="4">
    <cellStyle name="Hyperlink" xfId="2" builtinId="8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colors>
    <mruColors>
      <color rgb="FFCCECFF"/>
      <color rgb="FFFFCC99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27961282211023E-2"/>
          <c:y val="0.12329870224555264"/>
          <c:w val="0.87844990354739594"/>
          <c:h val="0.760721420239136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'2014-15 MYEFO '!$A$3:$A$8</c:f>
              <c:strCache>
                <c:ptCount val="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</c:strCache>
            </c:strRef>
          </c:cat>
          <c:val>
            <c:numRef>
              <c:f>'2014-15 MYEFO '!$J$3:$J$8</c:f>
              <c:numCache>
                <c:formatCode>0</c:formatCode>
                <c:ptCount val="6"/>
                <c:pt idx="0">
                  <c:v>5585.4823390624997</c:v>
                </c:pt>
                <c:pt idx="1">
                  <c:v>5286.7449999999999</c:v>
                </c:pt>
                <c:pt idx="2">
                  <c:v>5157.7999999999993</c:v>
                </c:pt>
                <c:pt idx="3">
                  <c:v>4034</c:v>
                </c:pt>
                <c:pt idx="4">
                  <c:v>3717.0731707317077</c:v>
                </c:pt>
                <c:pt idx="5">
                  <c:v>3723.4979179060092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15968"/>
        <c:axId val="48411776"/>
      </c:barChart>
      <c:catAx>
        <c:axId val="4731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411776"/>
        <c:crosses val="autoZero"/>
        <c:auto val="1"/>
        <c:lblAlgn val="ctr"/>
        <c:lblOffset val="100"/>
        <c:noMultiLvlLbl val="0"/>
      </c:catAx>
      <c:valAx>
        <c:axId val="48411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2015-16$A m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1.7073490813648298E-2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4731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58965642024003E-2"/>
          <c:y val="7.8779217604695417E-2"/>
          <c:w val="0.91631761352349428"/>
          <c:h val="0.7899804495012584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'ODA-GNI time series'!$A$5:$A$51</c:f>
              <c:strCache>
                <c:ptCount val="47"/>
                <c:pt idx="0">
                  <c:v>1971-72</c:v>
                </c:pt>
                <c:pt idx="1">
                  <c:v>1972-73</c:v>
                </c:pt>
                <c:pt idx="2">
                  <c:v>1973-74</c:v>
                </c:pt>
                <c:pt idx="3">
                  <c:v>1974-75</c:v>
                </c:pt>
                <c:pt idx="4">
                  <c:v>1975-76</c:v>
                </c:pt>
                <c:pt idx="5">
                  <c:v>1976-77</c:v>
                </c:pt>
                <c:pt idx="6">
                  <c:v>1977-78</c:v>
                </c:pt>
                <c:pt idx="7">
                  <c:v>1978-79</c:v>
                </c:pt>
                <c:pt idx="8">
                  <c:v>1979-80</c:v>
                </c:pt>
                <c:pt idx="9">
                  <c:v>1980-81</c:v>
                </c:pt>
                <c:pt idx="10">
                  <c:v>1981-82</c:v>
                </c:pt>
                <c:pt idx="11">
                  <c:v>1982-83</c:v>
                </c:pt>
                <c:pt idx="12">
                  <c:v>1983-84</c:v>
                </c:pt>
                <c:pt idx="13">
                  <c:v>1984-85</c:v>
                </c:pt>
                <c:pt idx="14">
                  <c:v>1985-86</c:v>
                </c:pt>
                <c:pt idx="15">
                  <c:v>1986-87</c:v>
                </c:pt>
                <c:pt idx="16">
                  <c:v>1987-88</c:v>
                </c:pt>
                <c:pt idx="17">
                  <c:v>1988-89</c:v>
                </c:pt>
                <c:pt idx="18">
                  <c:v>1989-90</c:v>
                </c:pt>
                <c:pt idx="19">
                  <c:v>1990-91</c:v>
                </c:pt>
                <c:pt idx="20">
                  <c:v>1991-92</c:v>
                </c:pt>
                <c:pt idx="21">
                  <c:v>1992-93</c:v>
                </c:pt>
                <c:pt idx="22">
                  <c:v>1993-94</c:v>
                </c:pt>
                <c:pt idx="23">
                  <c:v>1994-95</c:v>
                </c:pt>
                <c:pt idx="24">
                  <c:v>1995-96</c:v>
                </c:pt>
                <c:pt idx="25">
                  <c:v>1996-97</c:v>
                </c:pt>
                <c:pt idx="26">
                  <c:v>1997-98</c:v>
                </c:pt>
                <c:pt idx="27">
                  <c:v>1998-99</c:v>
                </c:pt>
                <c:pt idx="28">
                  <c:v>1999-00</c:v>
                </c:pt>
                <c:pt idx="29">
                  <c:v>2000-01</c:v>
                </c:pt>
                <c:pt idx="30">
                  <c:v>2001-02</c:v>
                </c:pt>
                <c:pt idx="31">
                  <c:v>2002-03</c:v>
                </c:pt>
                <c:pt idx="32">
                  <c:v>2003-04</c:v>
                </c:pt>
                <c:pt idx="33">
                  <c:v>2004-05</c:v>
                </c:pt>
                <c:pt idx="34">
                  <c:v>2005-06</c:v>
                </c:pt>
                <c:pt idx="35">
                  <c:v>2006-07</c:v>
                </c:pt>
                <c:pt idx="36">
                  <c:v>2007-08</c:v>
                </c:pt>
                <c:pt idx="37">
                  <c:v>2008-09</c:v>
                </c:pt>
                <c:pt idx="38">
                  <c:v>2009-10</c:v>
                </c:pt>
                <c:pt idx="39">
                  <c:v>2010-11</c:v>
                </c:pt>
                <c:pt idx="40">
                  <c:v>2011-12</c:v>
                </c:pt>
                <c:pt idx="41">
                  <c:v>2012-13</c:v>
                </c:pt>
                <c:pt idx="42">
                  <c:v>2013-14</c:v>
                </c:pt>
                <c:pt idx="43">
                  <c:v>2014-15</c:v>
                </c:pt>
                <c:pt idx="44">
                  <c:v>2015-16</c:v>
                </c:pt>
                <c:pt idx="45">
                  <c:v>2016-17</c:v>
                </c:pt>
                <c:pt idx="46">
                  <c:v>2017-18</c:v>
                </c:pt>
              </c:strCache>
            </c:strRef>
          </c:cat>
          <c:val>
            <c:numRef>
              <c:f>'ODA-GNI time series'!$F$5:$F$51</c:f>
              <c:numCache>
                <c:formatCode>0.000</c:formatCode>
                <c:ptCount val="47"/>
                <c:pt idx="0">
                  <c:v>0.45</c:v>
                </c:pt>
                <c:pt idx="1">
                  <c:v>0.44</c:v>
                </c:pt>
                <c:pt idx="2">
                  <c:v>0.44</c:v>
                </c:pt>
                <c:pt idx="3">
                  <c:v>0.47</c:v>
                </c:pt>
                <c:pt idx="4">
                  <c:v>0.43</c:v>
                </c:pt>
                <c:pt idx="5">
                  <c:v>0.4</c:v>
                </c:pt>
                <c:pt idx="6">
                  <c:v>0.41</c:v>
                </c:pt>
                <c:pt idx="7">
                  <c:v>0.4</c:v>
                </c:pt>
                <c:pt idx="8">
                  <c:v>0.38</c:v>
                </c:pt>
                <c:pt idx="9">
                  <c:v>0.37</c:v>
                </c:pt>
                <c:pt idx="10">
                  <c:v>0.38</c:v>
                </c:pt>
                <c:pt idx="11">
                  <c:v>0.4</c:v>
                </c:pt>
                <c:pt idx="12">
                  <c:v>0.44093847304114103</c:v>
                </c:pt>
                <c:pt idx="13">
                  <c:v>0.43546400985111383</c:v>
                </c:pt>
                <c:pt idx="14">
                  <c:v>0.40233047292366647</c:v>
                </c:pt>
                <c:pt idx="15">
                  <c:v>0.34691700448047791</c:v>
                </c:pt>
                <c:pt idx="16">
                  <c:v>0.31995882836574974</c:v>
                </c:pt>
                <c:pt idx="17">
                  <c:v>0.33333054302240894</c:v>
                </c:pt>
                <c:pt idx="18">
                  <c:v>0.30043434749335168</c:v>
                </c:pt>
                <c:pt idx="19">
                  <c:v>0.31625014107113747</c:v>
                </c:pt>
                <c:pt idx="20">
                  <c:v>0.32682291666666669</c:v>
                </c:pt>
                <c:pt idx="21">
                  <c:v>0.32046406136929545</c:v>
                </c:pt>
                <c:pt idx="22">
                  <c:v>0.30903355822307893</c:v>
                </c:pt>
                <c:pt idx="23">
                  <c:v>0.30984909553384593</c:v>
                </c:pt>
                <c:pt idx="24">
                  <c:v>0.30484461052747031</c:v>
                </c:pt>
                <c:pt idx="25">
                  <c:v>0.2660641824100361</c:v>
                </c:pt>
                <c:pt idx="26">
                  <c:v>0.25295686060025979</c:v>
                </c:pt>
                <c:pt idx="27">
                  <c:v>0.25427337631661245</c:v>
                </c:pt>
                <c:pt idx="28">
                  <c:v>0.27236451084349361</c:v>
                </c:pt>
                <c:pt idx="29">
                  <c:v>0.23668250771759086</c:v>
                </c:pt>
                <c:pt idx="30">
                  <c:v>0.23932474722337749</c:v>
                </c:pt>
                <c:pt idx="31" formatCode="0.00">
                  <c:v>0.23511523317605904</c:v>
                </c:pt>
                <c:pt idx="32">
                  <c:v>0.23562300796396451</c:v>
                </c:pt>
                <c:pt idx="33">
                  <c:v>0.24741620536186631</c:v>
                </c:pt>
                <c:pt idx="34">
                  <c:v>0.27967758729690945</c:v>
                </c:pt>
                <c:pt idx="35">
                  <c:v>0.28659473509072553</c:v>
                </c:pt>
                <c:pt idx="36">
                  <c:v>0.27546383687651327</c:v>
                </c:pt>
                <c:pt idx="37">
                  <c:v>0.30767596755237459</c:v>
                </c:pt>
                <c:pt idx="38">
                  <c:v>0.31122385603469793</c:v>
                </c:pt>
                <c:pt idx="39">
                  <c:v>0.31809802838844864</c:v>
                </c:pt>
                <c:pt idx="40">
                  <c:v>0.33423789505620555</c:v>
                </c:pt>
                <c:pt idx="41">
                  <c:v>0.34</c:v>
                </c:pt>
                <c:pt idx="42">
                  <c:v>0.32548512289780074</c:v>
                </c:pt>
                <c:pt idx="43">
                  <c:v>0.32067499792886778</c:v>
                </c:pt>
                <c:pt idx="44">
                  <c:v>0.25009432929161785</c:v>
                </c:pt>
                <c:pt idx="45">
                  <c:v>0.2239514492938513</c:v>
                </c:pt>
                <c:pt idx="46">
                  <c:v>0.21744963840325104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4336"/>
        <c:axId val="52281728"/>
      </c:lineChart>
      <c:catAx>
        <c:axId val="508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281728"/>
        <c:crosses val="autoZero"/>
        <c:auto val="1"/>
        <c:lblAlgn val="ctr"/>
        <c:lblOffset val="100"/>
        <c:noMultiLvlLbl val="0"/>
      </c:catAx>
      <c:valAx>
        <c:axId val="52281728"/>
        <c:scaling>
          <c:orientation val="minMax"/>
          <c:min val="0.2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AU"/>
                  <a:t>ODA/GNI ratio</a:t>
                </a:r>
              </a:p>
            </c:rich>
          </c:tx>
          <c:layout>
            <c:manualLayout>
              <c:xMode val="edge"/>
              <c:yMode val="edge"/>
              <c:x val="8.4263739932639442E-3"/>
              <c:y val="9.8507781061879084E-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5081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'ODA-GNI time series'!$B$53</c:f>
              <c:strCache>
                <c:ptCount val="1"/>
                <c:pt idx="0">
                  <c:v>2015-16 $A m (LHS)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'ODA-GNI time series'!$A$54:$A$100</c:f>
              <c:strCache>
                <c:ptCount val="47"/>
                <c:pt idx="0">
                  <c:v>1971-72</c:v>
                </c:pt>
                <c:pt idx="1">
                  <c:v>1972-73</c:v>
                </c:pt>
                <c:pt idx="2">
                  <c:v>1973-74</c:v>
                </c:pt>
                <c:pt idx="3">
                  <c:v>1974-75</c:v>
                </c:pt>
                <c:pt idx="4">
                  <c:v>1975-76</c:v>
                </c:pt>
                <c:pt idx="5">
                  <c:v>1976-77</c:v>
                </c:pt>
                <c:pt idx="6">
                  <c:v>1977-78</c:v>
                </c:pt>
                <c:pt idx="7">
                  <c:v>1978-79</c:v>
                </c:pt>
                <c:pt idx="8">
                  <c:v>1979-80</c:v>
                </c:pt>
                <c:pt idx="9">
                  <c:v>1980-81</c:v>
                </c:pt>
                <c:pt idx="10">
                  <c:v>1981-82</c:v>
                </c:pt>
                <c:pt idx="11">
                  <c:v>1982-83</c:v>
                </c:pt>
                <c:pt idx="12">
                  <c:v>1983-84</c:v>
                </c:pt>
                <c:pt idx="13">
                  <c:v>1984-85</c:v>
                </c:pt>
                <c:pt idx="14">
                  <c:v>1985-86</c:v>
                </c:pt>
                <c:pt idx="15">
                  <c:v>1986-87</c:v>
                </c:pt>
                <c:pt idx="16">
                  <c:v>1987-88</c:v>
                </c:pt>
                <c:pt idx="17">
                  <c:v>1988-89</c:v>
                </c:pt>
                <c:pt idx="18">
                  <c:v>1989-90</c:v>
                </c:pt>
                <c:pt idx="19">
                  <c:v>1990-91</c:v>
                </c:pt>
                <c:pt idx="20">
                  <c:v>1991-92</c:v>
                </c:pt>
                <c:pt idx="21">
                  <c:v>1992-93</c:v>
                </c:pt>
                <c:pt idx="22">
                  <c:v>1993-94</c:v>
                </c:pt>
                <c:pt idx="23">
                  <c:v>1994-95</c:v>
                </c:pt>
                <c:pt idx="24">
                  <c:v>1995-96</c:v>
                </c:pt>
                <c:pt idx="25">
                  <c:v>1996-97</c:v>
                </c:pt>
                <c:pt idx="26">
                  <c:v>1997-98</c:v>
                </c:pt>
                <c:pt idx="27">
                  <c:v>1998-99</c:v>
                </c:pt>
                <c:pt idx="28">
                  <c:v>1999-00</c:v>
                </c:pt>
                <c:pt idx="29">
                  <c:v>2000-01</c:v>
                </c:pt>
                <c:pt idx="30">
                  <c:v>2001-02</c:v>
                </c:pt>
                <c:pt idx="31">
                  <c:v>2002-03</c:v>
                </c:pt>
                <c:pt idx="32">
                  <c:v>2003-04</c:v>
                </c:pt>
                <c:pt idx="33">
                  <c:v>2004-05</c:v>
                </c:pt>
                <c:pt idx="34">
                  <c:v>2005-06</c:v>
                </c:pt>
                <c:pt idx="35">
                  <c:v>2006-07</c:v>
                </c:pt>
                <c:pt idx="36">
                  <c:v>2007-08</c:v>
                </c:pt>
                <c:pt idx="37">
                  <c:v>2008-09</c:v>
                </c:pt>
                <c:pt idx="38">
                  <c:v>2009-10</c:v>
                </c:pt>
                <c:pt idx="39">
                  <c:v>2010-11</c:v>
                </c:pt>
                <c:pt idx="40">
                  <c:v>2011-12</c:v>
                </c:pt>
                <c:pt idx="41">
                  <c:v>2012-13</c:v>
                </c:pt>
                <c:pt idx="42">
                  <c:v>2013-14</c:v>
                </c:pt>
                <c:pt idx="43">
                  <c:v>2014-15</c:v>
                </c:pt>
                <c:pt idx="44">
                  <c:v>2015-16</c:v>
                </c:pt>
                <c:pt idx="45">
                  <c:v>2016-17</c:v>
                </c:pt>
                <c:pt idx="46">
                  <c:v>2017-18</c:v>
                </c:pt>
              </c:strCache>
            </c:strRef>
          </c:cat>
          <c:val>
            <c:numRef>
              <c:f>'ODA-GNI time series'!$B$54:$B$100</c:f>
              <c:numCache>
                <c:formatCode>0.0</c:formatCode>
                <c:ptCount val="47"/>
                <c:pt idx="0">
                  <c:v>2190.5380500000001</c:v>
                </c:pt>
                <c:pt idx="1">
                  <c:v>2283.9266499999999</c:v>
                </c:pt>
                <c:pt idx="2">
                  <c:v>2423.5669500000004</c:v>
                </c:pt>
                <c:pt idx="3">
                  <c:v>2510.2058999999999</c:v>
                </c:pt>
                <c:pt idx="4">
                  <c:v>2315.6832000000004</c:v>
                </c:pt>
                <c:pt idx="5">
                  <c:v>2228.7123000000001</c:v>
                </c:pt>
                <c:pt idx="6">
                  <c:v>2261.7966499999998</c:v>
                </c:pt>
                <c:pt idx="7">
                  <c:v>2353.0828999999999</c:v>
                </c:pt>
                <c:pt idx="8">
                  <c:v>2336.4854</c:v>
                </c:pt>
                <c:pt idx="9">
                  <c:v>2358.6154000000001</c:v>
                </c:pt>
                <c:pt idx="10">
                  <c:v>2419.0302999999999</c:v>
                </c:pt>
                <c:pt idx="11">
                  <c:v>2450.0122999999999</c:v>
                </c:pt>
                <c:pt idx="12">
                  <c:v>2871.9685236768805</c:v>
                </c:pt>
                <c:pt idx="13">
                  <c:v>2984.3042666666665</c:v>
                </c:pt>
                <c:pt idx="14">
                  <c:v>2859.1516290726818</c:v>
                </c:pt>
                <c:pt idx="15">
                  <c:v>2510.4683720930238</c:v>
                </c:pt>
                <c:pt idx="16">
                  <c:v>2463.2912663755465</c:v>
                </c:pt>
                <c:pt idx="17">
                  <c:v>2654.2668674698793</c:v>
                </c:pt>
                <c:pt idx="18">
                  <c:v>2464.5345351043643</c:v>
                </c:pt>
                <c:pt idx="19">
                  <c:v>2541.5236794171219</c:v>
                </c:pt>
                <c:pt idx="20">
                  <c:v>2628.5302678571429</c:v>
                </c:pt>
                <c:pt idx="21">
                  <c:v>2724.1912078152754</c:v>
                </c:pt>
                <c:pt idx="22">
                  <c:v>2743.4977152899824</c:v>
                </c:pt>
                <c:pt idx="23">
                  <c:v>2820.8145189003435</c:v>
                </c:pt>
                <c:pt idx="24">
                  <c:v>2875.2374791318866</c:v>
                </c:pt>
                <c:pt idx="25">
                  <c:v>2606.0986842105267</c:v>
                </c:pt>
                <c:pt idx="26">
                  <c:v>2592.0121753246754</c:v>
                </c:pt>
                <c:pt idx="27">
                  <c:v>2732.4651050080774</c:v>
                </c:pt>
                <c:pt idx="28">
                  <c:v>3047.1441732283465</c:v>
                </c:pt>
                <c:pt idx="29">
                  <c:v>2708.8388386123679</c:v>
                </c:pt>
                <c:pt idx="30">
                  <c:v>2860.1150957290129</c:v>
                </c:pt>
                <c:pt idx="31">
                  <c:v>2893.9717142857144</c:v>
                </c:pt>
                <c:pt idx="32">
                  <c:v>3011.3588275862071</c:v>
                </c:pt>
                <c:pt idx="33">
                  <c:v>3225.7263262599463</c:v>
                </c:pt>
                <c:pt idx="34">
                  <c:v>3744.3804511802823</c:v>
                </c:pt>
                <c:pt idx="35">
                  <c:v>3960.411108650037</c:v>
                </c:pt>
                <c:pt idx="36">
                  <c:v>3961.7999600791973</c:v>
                </c:pt>
                <c:pt idx="37">
                  <c:v>4514.6370509995822</c:v>
                </c:pt>
                <c:pt idx="38">
                  <c:v>4638.571175556076</c:v>
                </c:pt>
                <c:pt idx="39">
                  <c:v>4853.6412474915805</c:v>
                </c:pt>
                <c:pt idx="40">
                  <c:v>5339.0379072484893</c:v>
                </c:pt>
                <c:pt idx="41">
                  <c:v>5531.1877431250014</c:v>
                </c:pt>
                <c:pt idx="42">
                  <c:v>5248.0615000000007</c:v>
                </c:pt>
                <c:pt idx="43">
                  <c:v>5157.8</c:v>
                </c:pt>
                <c:pt idx="44">
                  <c:v>4052</c:v>
                </c:pt>
                <c:pt idx="45">
                  <c:v>3734.6341463414637</c:v>
                </c:pt>
                <c:pt idx="46">
                  <c:v>3723.4979179060088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40896"/>
        <c:axId val="92113536"/>
      </c:lineChart>
      <c:lineChart>
        <c:grouping val="standard"/>
        <c:varyColors val="0"/>
        <c:ser>
          <c:idx val="1"/>
          <c:order val="1"/>
          <c:tx>
            <c:strRef>
              <c:f>'ODA-GNI time series'!$C$53</c:f>
              <c:strCache>
                <c:ptCount val="1"/>
                <c:pt idx="0">
                  <c:v>Aid/GNI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'ODA-GNI time series'!$A$54:$A$100</c:f>
              <c:strCache>
                <c:ptCount val="47"/>
                <c:pt idx="0">
                  <c:v>1971-72</c:v>
                </c:pt>
                <c:pt idx="1">
                  <c:v>1972-73</c:v>
                </c:pt>
                <c:pt idx="2">
                  <c:v>1973-74</c:v>
                </c:pt>
                <c:pt idx="3">
                  <c:v>1974-75</c:v>
                </c:pt>
                <c:pt idx="4">
                  <c:v>1975-76</c:v>
                </c:pt>
                <c:pt idx="5">
                  <c:v>1976-77</c:v>
                </c:pt>
                <c:pt idx="6">
                  <c:v>1977-78</c:v>
                </c:pt>
                <c:pt idx="7">
                  <c:v>1978-79</c:v>
                </c:pt>
                <c:pt idx="8">
                  <c:v>1979-80</c:v>
                </c:pt>
                <c:pt idx="9">
                  <c:v>1980-81</c:v>
                </c:pt>
                <c:pt idx="10">
                  <c:v>1981-82</c:v>
                </c:pt>
                <c:pt idx="11">
                  <c:v>1982-83</c:v>
                </c:pt>
                <c:pt idx="12">
                  <c:v>1983-84</c:v>
                </c:pt>
                <c:pt idx="13">
                  <c:v>1984-85</c:v>
                </c:pt>
                <c:pt idx="14">
                  <c:v>1985-86</c:v>
                </c:pt>
                <c:pt idx="15">
                  <c:v>1986-87</c:v>
                </c:pt>
                <c:pt idx="16">
                  <c:v>1987-88</c:v>
                </c:pt>
                <c:pt idx="17">
                  <c:v>1988-89</c:v>
                </c:pt>
                <c:pt idx="18">
                  <c:v>1989-90</c:v>
                </c:pt>
                <c:pt idx="19">
                  <c:v>1990-91</c:v>
                </c:pt>
                <c:pt idx="20">
                  <c:v>1991-92</c:v>
                </c:pt>
                <c:pt idx="21">
                  <c:v>1992-93</c:v>
                </c:pt>
                <c:pt idx="22">
                  <c:v>1993-94</c:v>
                </c:pt>
                <c:pt idx="23">
                  <c:v>1994-95</c:v>
                </c:pt>
                <c:pt idx="24">
                  <c:v>1995-96</c:v>
                </c:pt>
                <c:pt idx="25">
                  <c:v>1996-97</c:v>
                </c:pt>
                <c:pt idx="26">
                  <c:v>1997-98</c:v>
                </c:pt>
                <c:pt idx="27">
                  <c:v>1998-99</c:v>
                </c:pt>
                <c:pt idx="28">
                  <c:v>1999-00</c:v>
                </c:pt>
                <c:pt idx="29">
                  <c:v>2000-01</c:v>
                </c:pt>
                <c:pt idx="30">
                  <c:v>2001-02</c:v>
                </c:pt>
                <c:pt idx="31">
                  <c:v>2002-03</c:v>
                </c:pt>
                <c:pt idx="32">
                  <c:v>2003-04</c:v>
                </c:pt>
                <c:pt idx="33">
                  <c:v>2004-05</c:v>
                </c:pt>
                <c:pt idx="34">
                  <c:v>2005-06</c:v>
                </c:pt>
                <c:pt idx="35">
                  <c:v>2006-07</c:v>
                </c:pt>
                <c:pt idx="36">
                  <c:v>2007-08</c:v>
                </c:pt>
                <c:pt idx="37">
                  <c:v>2008-09</c:v>
                </c:pt>
                <c:pt idx="38">
                  <c:v>2009-10</c:v>
                </c:pt>
                <c:pt idx="39">
                  <c:v>2010-11</c:v>
                </c:pt>
                <c:pt idx="40">
                  <c:v>2011-12</c:v>
                </c:pt>
                <c:pt idx="41">
                  <c:v>2012-13</c:v>
                </c:pt>
                <c:pt idx="42">
                  <c:v>2013-14</c:v>
                </c:pt>
                <c:pt idx="43">
                  <c:v>2014-15</c:v>
                </c:pt>
                <c:pt idx="44">
                  <c:v>2015-16</c:v>
                </c:pt>
                <c:pt idx="45">
                  <c:v>2016-17</c:v>
                </c:pt>
                <c:pt idx="46">
                  <c:v>2017-18</c:v>
                </c:pt>
              </c:strCache>
            </c:strRef>
          </c:cat>
          <c:val>
            <c:numRef>
              <c:f>'ODA-GNI time series'!$C$54:$C$100</c:f>
              <c:numCache>
                <c:formatCode>General</c:formatCode>
                <c:ptCount val="47"/>
                <c:pt idx="0">
                  <c:v>0.45</c:v>
                </c:pt>
                <c:pt idx="1">
                  <c:v>0.44</c:v>
                </c:pt>
                <c:pt idx="2">
                  <c:v>0.44</c:v>
                </c:pt>
                <c:pt idx="3">
                  <c:v>0.47</c:v>
                </c:pt>
                <c:pt idx="4">
                  <c:v>0.43</c:v>
                </c:pt>
                <c:pt idx="5">
                  <c:v>0.4</c:v>
                </c:pt>
                <c:pt idx="6">
                  <c:v>0.41</c:v>
                </c:pt>
                <c:pt idx="7">
                  <c:v>0.4</c:v>
                </c:pt>
                <c:pt idx="8">
                  <c:v>0.38</c:v>
                </c:pt>
                <c:pt idx="9">
                  <c:v>0.37</c:v>
                </c:pt>
                <c:pt idx="10">
                  <c:v>0.38</c:v>
                </c:pt>
                <c:pt idx="11">
                  <c:v>0.4</c:v>
                </c:pt>
                <c:pt idx="12" formatCode="0.000">
                  <c:v>0.44093847304114103</c:v>
                </c:pt>
                <c:pt idx="13">
                  <c:v>0.43546400985111383</c:v>
                </c:pt>
                <c:pt idx="14">
                  <c:v>0.40233047292366647</c:v>
                </c:pt>
                <c:pt idx="15">
                  <c:v>0.34691700448047791</c:v>
                </c:pt>
                <c:pt idx="16">
                  <c:v>0.31995882836574974</c:v>
                </c:pt>
                <c:pt idx="17">
                  <c:v>0.33333054302240894</c:v>
                </c:pt>
                <c:pt idx="18">
                  <c:v>0.30043434749335168</c:v>
                </c:pt>
                <c:pt idx="19">
                  <c:v>0.31625014107113747</c:v>
                </c:pt>
                <c:pt idx="20">
                  <c:v>0.32682291666666669</c:v>
                </c:pt>
                <c:pt idx="21">
                  <c:v>0.32046406136929545</c:v>
                </c:pt>
                <c:pt idx="22">
                  <c:v>0.30903355822307893</c:v>
                </c:pt>
                <c:pt idx="23">
                  <c:v>0.30984909553384593</c:v>
                </c:pt>
                <c:pt idx="24">
                  <c:v>0.30484461052747031</c:v>
                </c:pt>
                <c:pt idx="25">
                  <c:v>0.2660641824100361</c:v>
                </c:pt>
                <c:pt idx="26">
                  <c:v>0.25295686060025979</c:v>
                </c:pt>
                <c:pt idx="27">
                  <c:v>0.25427337631661245</c:v>
                </c:pt>
                <c:pt idx="28">
                  <c:v>0.27236451084349361</c:v>
                </c:pt>
                <c:pt idx="29">
                  <c:v>0.23668250771759086</c:v>
                </c:pt>
                <c:pt idx="30">
                  <c:v>0.23932474722337749</c:v>
                </c:pt>
                <c:pt idx="31">
                  <c:v>0.23511523317605904</c:v>
                </c:pt>
                <c:pt idx="32">
                  <c:v>0.23562300796396451</c:v>
                </c:pt>
                <c:pt idx="33">
                  <c:v>0.24741620536186631</c:v>
                </c:pt>
                <c:pt idx="34">
                  <c:v>0.27967758729690945</c:v>
                </c:pt>
                <c:pt idx="35">
                  <c:v>0.28659473509072553</c:v>
                </c:pt>
                <c:pt idx="36">
                  <c:v>0.27546383687651327</c:v>
                </c:pt>
                <c:pt idx="37">
                  <c:v>0.30767596755237459</c:v>
                </c:pt>
                <c:pt idx="38">
                  <c:v>0.31122385603469793</c:v>
                </c:pt>
                <c:pt idx="39">
                  <c:v>0.31809802838844864</c:v>
                </c:pt>
                <c:pt idx="40">
                  <c:v>0.33423789505620555</c:v>
                </c:pt>
                <c:pt idx="41">
                  <c:v>0.34</c:v>
                </c:pt>
                <c:pt idx="42">
                  <c:v>0.32548512289780074</c:v>
                </c:pt>
                <c:pt idx="43">
                  <c:v>0.32067499792886778</c:v>
                </c:pt>
                <c:pt idx="44">
                  <c:v>0.25009432929161785</c:v>
                </c:pt>
                <c:pt idx="45">
                  <c:v>0.2239514492938513</c:v>
                </c:pt>
                <c:pt idx="46">
                  <c:v>0.21744963840325104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05920"/>
        <c:axId val="92374528"/>
      </c:lineChart>
      <c:catAx>
        <c:axId val="918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13536"/>
        <c:crosses val="autoZero"/>
        <c:auto val="1"/>
        <c:lblAlgn val="ctr"/>
        <c:lblOffset val="100"/>
        <c:noMultiLvlLbl val="0"/>
      </c:catAx>
      <c:valAx>
        <c:axId val="9211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2012-13 $Am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40896"/>
        <c:crosses val="autoZero"/>
        <c:crossBetween val="between"/>
      </c:valAx>
      <c:valAx>
        <c:axId val="9237452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05920"/>
        <c:crosses val="max"/>
        <c:crossBetween val="between"/>
      </c:valAx>
      <c:catAx>
        <c:axId val="9830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374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71095103284999E-2"/>
          <c:y val="9.8956570723578524E-2"/>
          <c:w val="0.84593149739411477"/>
          <c:h val="0.73397238869587944"/>
        </c:manualLayout>
      </c:layout>
      <c:lineChart>
        <c:grouping val="standard"/>
        <c:varyColors val="0"/>
        <c:ser>
          <c:idx val="0"/>
          <c:order val="0"/>
          <c:tx>
            <c:strRef>
              <c:f>'Historic cuts comparison'!$B$24</c:f>
              <c:strCache>
                <c:ptCount val="1"/>
                <c:pt idx="0">
                  <c:v>$ cuts (LHS)</c:v>
                </c:pt>
              </c:strCache>
            </c:strRef>
          </c:tx>
          <c:marker>
            <c:symbol val="none"/>
          </c:marker>
          <c:cat>
            <c:strRef>
              <c:f>'Historic cuts comparison'!$A$25:$A$27</c:f>
              <c:strCache>
                <c:ptCount val="3"/>
                <c:pt idx="0">
                  <c:v>Hawke-Keating (84/5-87/8)</c:v>
                </c:pt>
                <c:pt idx="1">
                  <c:v>Howard-Costello (95/6-97/8)</c:v>
                </c:pt>
                <c:pt idx="2">
                  <c:v>Abbott-Hockey (12/3-16/17)</c:v>
                </c:pt>
              </c:strCache>
            </c:strRef>
          </c:cat>
          <c:val>
            <c:numRef>
              <c:f>'Historic cuts comparison'!$B$25:$B$27</c:f>
              <c:numCache>
                <c:formatCode>0.0</c:formatCode>
                <c:ptCount val="3"/>
                <c:pt idx="0">
                  <c:v>521.01300029112008</c:v>
                </c:pt>
                <c:pt idx="1">
                  <c:v>283.22530380721128</c:v>
                </c:pt>
                <c:pt idx="2">
                  <c:v>1868.409168330792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83296"/>
        <c:axId val="146184832"/>
      </c:lineChart>
      <c:lineChart>
        <c:grouping val="standard"/>
        <c:varyColors val="0"/>
        <c:ser>
          <c:idx val="1"/>
          <c:order val="1"/>
          <c:tx>
            <c:strRef>
              <c:f>'Historic cuts comparison'!$C$24</c:f>
              <c:strCache>
                <c:ptCount val="1"/>
                <c:pt idx="0">
                  <c:v>% cuts (RHS)</c:v>
                </c:pt>
              </c:strCache>
            </c:strRef>
          </c:tx>
          <c:marker>
            <c:symbol val="none"/>
          </c:marker>
          <c:cat>
            <c:strRef>
              <c:f>'Historic cuts comparison'!$A$25:$A$27</c:f>
              <c:strCache>
                <c:ptCount val="3"/>
                <c:pt idx="0">
                  <c:v>Hawke-Keating (84/5-87/8)</c:v>
                </c:pt>
                <c:pt idx="1">
                  <c:v>Howard-Costello (95/6-97/8)</c:v>
                </c:pt>
                <c:pt idx="2">
                  <c:v>Abbott-Hockey (12/3-16/17)</c:v>
                </c:pt>
              </c:strCache>
            </c:strRef>
          </c:cat>
          <c:val>
            <c:numRef>
              <c:f>'Historic cuts comparison'!$C$25:$C$27</c:f>
              <c:numCache>
                <c:formatCode>0%</c:formatCode>
                <c:ptCount val="3"/>
                <c:pt idx="0">
                  <c:v>0.17458441021265858</c:v>
                </c:pt>
                <c:pt idx="1">
                  <c:v>9.8505012494733202E-2</c:v>
                </c:pt>
                <c:pt idx="2">
                  <c:v>0.33451169566215055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96736"/>
        <c:axId val="146195200"/>
      </c:lineChart>
      <c:catAx>
        <c:axId val="146183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6184832"/>
        <c:crosses val="autoZero"/>
        <c:auto val="1"/>
        <c:lblAlgn val="ctr"/>
        <c:lblOffset val="100"/>
        <c:noMultiLvlLbl val="0"/>
      </c:catAx>
      <c:valAx>
        <c:axId val="146184832"/>
        <c:scaling>
          <c:orientation val="minMax"/>
          <c:max val="18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n-AU" b="1"/>
                  <a:t>2012-13 $A m</a:t>
                </a:r>
              </a:p>
            </c:rich>
          </c:tx>
          <c:layout>
            <c:manualLayout>
              <c:xMode val="edge"/>
              <c:yMode val="edge"/>
              <c:x val="2.8070179870176206E-2"/>
              <c:y val="1.5057595839562709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46183296"/>
        <c:crosses val="autoZero"/>
        <c:crossBetween val="between"/>
      </c:valAx>
      <c:valAx>
        <c:axId val="14619520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46196736"/>
        <c:crosses val="max"/>
        <c:crossBetween val="between"/>
      </c:valAx>
      <c:catAx>
        <c:axId val="14619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19520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357188</xdr:colOff>
      <xdr:row>9</xdr:row>
      <xdr:rowOff>146446</xdr:rowOff>
    </xdr:from>
    <xdr:to>
      <xdr:col>16</xdr:col>
      <xdr:colOff>119063</xdr:colOff>
      <xdr:row>26</xdr:row>
      <xdr:rowOff>32146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166687</xdr:colOff>
      <xdr:row>7</xdr:row>
      <xdr:rowOff>50402</xdr:rowOff>
    </xdr:from>
    <xdr:to>
      <xdr:col>14</xdr:col>
      <xdr:colOff>463550</xdr:colOff>
      <xdr:row>30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506015</xdr:colOff>
      <xdr:row>55</xdr:row>
      <xdr:rowOff>146447</xdr:rowOff>
    </xdr:from>
    <xdr:to>
      <xdr:col>5</xdr:col>
      <xdr:colOff>41671</xdr:colOff>
      <xdr:row>70</xdr:row>
      <xdr:rowOff>32147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738584</xdr:colOff>
      <xdr:row>23</xdr:row>
      <xdr:rowOff>111917</xdr:rowOff>
    </xdr:from>
    <xdr:to>
      <xdr:col>5</xdr:col>
      <xdr:colOff>1334690</xdr:colOff>
      <xdr:row>43</xdr:row>
      <xdr:rowOff>36909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fat.gov.au/dept/budget/2014_2015_highlights/" TargetMode="External"/><Relationship Id="rId7" Type="http://schemas.openxmlformats.org/officeDocument/2006/relationships/hyperlink" Target="http://www.budget.gov.au/past_budgets.htm" TargetMode="External"/><Relationship Id="rId2" Type="http://schemas.openxmlformats.org/officeDocument/2006/relationships/hyperlink" Target="http://aid.dfat.gov.au/Publications/Pages/9266_4050_7172_5723_8240.aspx" TargetMode="External"/><Relationship Id="rId1" Type="http://schemas.openxmlformats.org/officeDocument/2006/relationships/hyperlink" Target="http://aid.dfat.gov.au/budgets/Pages/default.aspx" TargetMode="External"/><Relationship Id="rId6" Type="http://schemas.openxmlformats.org/officeDocument/2006/relationships/hyperlink" Target="http://www.budget.gov.au/2014-15/content/bp1/download/BP1_consolidated_file.pdf" TargetMode="External"/><Relationship Id="rId5" Type="http://schemas.openxmlformats.org/officeDocument/2006/relationships/hyperlink" Target="http://www.budget.gov.au/2014-15/content/bp1/download/BP1_consolidated_file.pdf" TargetMode="External"/><Relationship Id="rId4" Type="http://schemas.openxmlformats.org/officeDocument/2006/relationships/hyperlink" Target="http://www.abs.gov.au/AUSSTATS/abs@.nsf/DetailsPage/5206.0Dec%202013?OpenDocumen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USSTATS/abs@.nsf/DetailsPage/6401.0Mar%202015?OpenDocument" TargetMode="External"/><Relationship Id="rId3" Type="http://schemas.openxmlformats.org/officeDocument/2006/relationships/hyperlink" Target="http://www.dfat.gov.au/dept/budget/2014_2015_highlights/" TargetMode="External"/><Relationship Id="rId7" Type="http://schemas.openxmlformats.org/officeDocument/2006/relationships/hyperlink" Target="http://www.abs.gov.au/AUSSTATS/abs@.nsf/DetailsPage/5206.0Sep%202014?OpenDocument" TargetMode="External"/><Relationship Id="rId2" Type="http://schemas.openxmlformats.org/officeDocument/2006/relationships/hyperlink" Target="http://aid.dfat.gov.au/Publications/Pages/9266_4050_7172_5723_8240.aspx" TargetMode="External"/><Relationship Id="rId1" Type="http://schemas.openxmlformats.org/officeDocument/2006/relationships/hyperlink" Target="http://aid.dfat.gov.au/budgets/Pages/default.aspx" TargetMode="External"/><Relationship Id="rId6" Type="http://schemas.openxmlformats.org/officeDocument/2006/relationships/hyperlink" Target="http://www.budget.gov.au/2014-15/content/myefo/download/MYEFO_2014-15.pdf" TargetMode="External"/><Relationship Id="rId5" Type="http://schemas.openxmlformats.org/officeDocument/2006/relationships/hyperlink" Target="http://www.budget.gov.au/2014-15/content/myefo/download/MYEFO_2014-15.pdf" TargetMode="External"/><Relationship Id="rId4" Type="http://schemas.openxmlformats.org/officeDocument/2006/relationships/hyperlink" Target="http://www.budget.gov.au/2014-15/content/myefo/download/MYEFO_2014-15.pdf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USSTATS/abs@.nsf/DetailsPage/6401.0Mar%202015?OpenDocument" TargetMode="External"/><Relationship Id="rId3" Type="http://schemas.openxmlformats.org/officeDocument/2006/relationships/hyperlink" Target="http://www.dfat.gov.au/dept/budget/2014_2015_highlights/" TargetMode="External"/><Relationship Id="rId7" Type="http://schemas.openxmlformats.org/officeDocument/2006/relationships/hyperlink" Target="http://www.abs.gov.au/AUSSTATS/abs@.nsf/DetailsPage/5206.0Sep%202014?OpenDocument" TargetMode="External"/><Relationship Id="rId2" Type="http://schemas.openxmlformats.org/officeDocument/2006/relationships/hyperlink" Target="http://aid.dfat.gov.au/Publications/Pages/9266_4050_7172_5723_8240.aspx" TargetMode="External"/><Relationship Id="rId1" Type="http://schemas.openxmlformats.org/officeDocument/2006/relationships/hyperlink" Target="http://aid.dfat.gov.au/budgets/Pages/default.aspx" TargetMode="External"/><Relationship Id="rId6" Type="http://schemas.openxmlformats.org/officeDocument/2006/relationships/hyperlink" Target="http://www.budget.gov.au/2014-15/content/myefo/download/MYEFO_2014-15.pdf" TargetMode="External"/><Relationship Id="rId5" Type="http://schemas.openxmlformats.org/officeDocument/2006/relationships/hyperlink" Target="http://www.budget.gov.au/2014-15/content/myefo/download/MYEFO_2014-15.pdf" TargetMode="External"/><Relationship Id="rId4" Type="http://schemas.openxmlformats.org/officeDocument/2006/relationships/hyperlink" Target="http://www.budget.gov.au/2014-15/content/myefo/download/MYEFO_2014-1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="80" zoomScaleNormal="80" workbookViewId="0">
      <selection activeCell="K22" sqref="K22"/>
    </sheetView>
  </sheetViews>
  <sheetFormatPr defaultRowHeight="15" x14ac:dyDescent="0.25"/>
  <cols>
    <col min="3" max="3" width="16.7109375" customWidth="1"/>
    <col min="5" max="5" width="11.140625" customWidth="1"/>
    <col min="6" max="6" width="10.42578125" customWidth="1"/>
    <col min="9" max="9" width="20.5703125" customWidth="1"/>
    <col min="10" max="10" width="14.85546875" customWidth="1"/>
    <col min="11" max="11" width="22.85546875" customWidth="1"/>
    <col min="12" max="12" width="14" customWidth="1"/>
    <col min="13" max="13" width="18.7109375" customWidth="1"/>
    <col min="14" max="14" width="13.5703125" customWidth="1"/>
    <col min="15" max="15" width="24.42578125" bestFit="1" customWidth="1"/>
    <col min="16" max="18" width="24.42578125" customWidth="1"/>
    <col min="19" max="19" width="18" customWidth="1"/>
  </cols>
  <sheetData>
    <row r="1" spans="1:20" x14ac:dyDescent="0.25">
      <c r="A1" t="s">
        <v>0</v>
      </c>
      <c r="B1" t="s">
        <v>55</v>
      </c>
      <c r="C1" t="s">
        <v>68</v>
      </c>
      <c r="D1" t="s">
        <v>69</v>
      </c>
      <c r="E1" t="s">
        <v>56</v>
      </c>
      <c r="F1" t="s">
        <v>57</v>
      </c>
      <c r="G1" t="s">
        <v>58</v>
      </c>
      <c r="H1" t="s">
        <v>59</v>
      </c>
      <c r="I1" t="s">
        <v>60</v>
      </c>
      <c r="J1" t="s">
        <v>61</v>
      </c>
      <c r="K1" t="s">
        <v>65</v>
      </c>
      <c r="L1" t="s">
        <v>63</v>
      </c>
      <c r="M1" t="s">
        <v>72</v>
      </c>
      <c r="N1" t="s">
        <v>64</v>
      </c>
      <c r="O1" t="s">
        <v>66</v>
      </c>
      <c r="P1" t="s">
        <v>67</v>
      </c>
      <c r="Q1" t="s">
        <v>113</v>
      </c>
      <c r="R1" t="s">
        <v>73</v>
      </c>
      <c r="S1" t="s">
        <v>74</v>
      </c>
      <c r="T1" t="s">
        <v>62</v>
      </c>
    </row>
    <row r="3" spans="1:20" x14ac:dyDescent="0.25">
      <c r="A3" t="s">
        <v>5</v>
      </c>
      <c r="B3">
        <v>5149</v>
      </c>
      <c r="E3" s="2">
        <f>'2015-16 Budget'!K3</f>
        <v>0.93090313312903872</v>
      </c>
      <c r="F3" s="9">
        <v>5149</v>
      </c>
      <c r="J3">
        <v>382.6</v>
      </c>
      <c r="L3">
        <f>J3</f>
        <v>382.6</v>
      </c>
      <c r="N3">
        <f t="shared" ref="N3:N8" si="0">L3*1000-F3</f>
        <v>377451</v>
      </c>
      <c r="T3" s="3">
        <f t="shared" ref="T3:T8" si="1">B3/J3/1000</f>
        <v>1.3457919498170412E-2</v>
      </c>
    </row>
    <row r="4" spans="1:20" x14ac:dyDescent="0.25">
      <c r="A4" t="s">
        <v>4</v>
      </c>
      <c r="B4">
        <v>5032</v>
      </c>
      <c r="C4" s="5">
        <f>B4/B3-1</f>
        <v>-2.272285880753544E-2</v>
      </c>
      <c r="D4">
        <v>3.25</v>
      </c>
      <c r="E4" s="2">
        <f>'2015-16 Budget'!K4</f>
        <v>0.95883022712290988</v>
      </c>
      <c r="F4" s="9">
        <f>B4/(1+D4/100)</f>
        <v>4873.6077481840193</v>
      </c>
      <c r="G4" s="9">
        <f>F4-F3</f>
        <v>-275.39225181598067</v>
      </c>
      <c r="H4" s="5">
        <f>G4/F$3</f>
        <v>-5.348460901456218E-2</v>
      </c>
      <c r="I4" s="5">
        <f t="shared" ref="I4:I8" si="2">F4/F3-1</f>
        <v>-5.3484609014562201E-2</v>
      </c>
      <c r="J4">
        <v>415.3</v>
      </c>
      <c r="K4" s="5">
        <f>J4/J3-1</f>
        <v>8.5467851542080364E-2</v>
      </c>
      <c r="L4" s="8">
        <f>J4/E4</f>
        <v>433.13194375000006</v>
      </c>
      <c r="M4" s="5">
        <f>L4/L3-1</f>
        <v>0.13207512741766858</v>
      </c>
      <c r="N4" s="9">
        <f t="shared" si="0"/>
        <v>428258.33600181603</v>
      </c>
      <c r="O4" s="9">
        <f>N4-N3</f>
        <v>50807.336001816031</v>
      </c>
      <c r="P4" s="10">
        <f>N4/N$3-1</f>
        <v>0.13460644163564561</v>
      </c>
      <c r="Q4" s="9">
        <v>1546570480</v>
      </c>
      <c r="R4">
        <v>4</v>
      </c>
      <c r="S4" s="1">
        <f>(B4)/Q4*1000</f>
        <v>3.253650619272133E-3</v>
      </c>
      <c r="T4" s="3">
        <f t="shared" si="1"/>
        <v>1.2116542258608235E-2</v>
      </c>
    </row>
    <row r="5" spans="1:20" x14ac:dyDescent="0.25">
      <c r="A5" t="s">
        <v>45</v>
      </c>
      <c r="B5">
        <v>5032</v>
      </c>
      <c r="C5" s="5">
        <f>B5/B4-1</f>
        <v>0</v>
      </c>
      <c r="D5">
        <v>2.25</v>
      </c>
      <c r="E5" s="2">
        <f>'2015-16 Budget'!K5</f>
        <v>0.97560975609756095</v>
      </c>
      <c r="F5" s="9">
        <f>B5/E5</f>
        <v>5157.8</v>
      </c>
      <c r="G5" s="9">
        <f>F5-F$3</f>
        <v>8.8000000000001819</v>
      </c>
      <c r="H5" s="5">
        <f>G5/F$3</f>
        <v>1.7090697222762056E-3</v>
      </c>
      <c r="I5" s="3">
        <f t="shared" si="2"/>
        <v>5.8312499999999989E-2</v>
      </c>
      <c r="J5">
        <v>414.8</v>
      </c>
      <c r="K5" s="5">
        <f>J5/J3-1</f>
        <v>8.4161003659174005E-2</v>
      </c>
      <c r="L5" s="8">
        <f t="shared" ref="L5:L8" si="3">J5/E5</f>
        <v>425.17</v>
      </c>
      <c r="M5" s="5">
        <f>L5/L3-1</f>
        <v>0.11126502875065336</v>
      </c>
      <c r="N5" s="9">
        <f t="shared" si="0"/>
        <v>420012.2</v>
      </c>
      <c r="O5" s="9">
        <f>N5-N4</f>
        <v>-8246.1360018160194</v>
      </c>
      <c r="P5" s="10">
        <f>N5/N$3-1</f>
        <v>0.11275953699950469</v>
      </c>
      <c r="Q5" s="9">
        <v>1592967594.4000001</v>
      </c>
      <c r="R5">
        <v>3</v>
      </c>
      <c r="S5" s="1">
        <f>(B5)/Q5*1000</f>
        <v>3.1588840963807114E-3</v>
      </c>
      <c r="T5" s="3">
        <f t="shared" si="1"/>
        <v>1.2131147540983607E-2</v>
      </c>
    </row>
    <row r="6" spans="1:20" x14ac:dyDescent="0.25">
      <c r="A6" t="s">
        <v>44</v>
      </c>
      <c r="B6">
        <v>5034</v>
      </c>
      <c r="C6" s="5">
        <f>B6/B5-1</f>
        <v>3.9745627980924958E-4</v>
      </c>
      <c r="D6">
        <v>2.5</v>
      </c>
      <c r="E6" s="2">
        <f>'2015-16 Budget'!K6</f>
        <v>1</v>
      </c>
      <c r="F6" s="9">
        <f>B6/E6</f>
        <v>5034</v>
      </c>
      <c r="G6" s="9">
        <f>F6-F$3</f>
        <v>-115</v>
      </c>
      <c r="H6" s="7">
        <f>G6/F$3</f>
        <v>-2.2334433870654497E-2</v>
      </c>
      <c r="I6" s="3">
        <f t="shared" si="2"/>
        <v>-2.4002481678234933E-2</v>
      </c>
      <c r="J6">
        <v>431.1</v>
      </c>
      <c r="K6" s="5">
        <f>J6/J3-1</f>
        <v>0.12676424464192371</v>
      </c>
      <c r="L6" s="8">
        <f t="shared" si="3"/>
        <v>431.1</v>
      </c>
      <c r="M6" s="5">
        <f>L6/L3-1</f>
        <v>0.12676424464192371</v>
      </c>
      <c r="N6" s="9">
        <f t="shared" si="0"/>
        <v>426066</v>
      </c>
      <c r="O6" s="9">
        <f t="shared" ref="O6:O8" si="4">N6-N5</f>
        <v>6053.7999999999884</v>
      </c>
      <c r="P6" s="10">
        <f>N6/N$3-1</f>
        <v>0.12879817512736746</v>
      </c>
      <c r="Q6" s="9">
        <v>1668633555.1340003</v>
      </c>
      <c r="R6">
        <v>4.75</v>
      </c>
      <c r="S6" s="1">
        <f>(B6)/Q6*1000</f>
        <v>3.0168397276391476E-3</v>
      </c>
      <c r="T6" s="3">
        <f t="shared" si="1"/>
        <v>1.1677105080027835E-2</v>
      </c>
    </row>
    <row r="7" spans="1:20" x14ac:dyDescent="0.25">
      <c r="A7" t="s">
        <v>43</v>
      </c>
      <c r="B7">
        <v>5160</v>
      </c>
      <c r="D7">
        <v>2.5</v>
      </c>
      <c r="E7" s="2">
        <f>'2015-16 Budget'!K7</f>
        <v>1.0249999999999999</v>
      </c>
      <c r="F7" s="9">
        <f>B7/E7</f>
        <v>5034.1463414634154</v>
      </c>
      <c r="G7" s="9">
        <f>F7-F$3</f>
        <v>-114.85365853658459</v>
      </c>
      <c r="H7" s="5">
        <f>G7/F$3</f>
        <v>-2.23060125338094E-2</v>
      </c>
      <c r="I7" s="5">
        <f t="shared" si="2"/>
        <v>2.9070612517889671E-5</v>
      </c>
      <c r="J7">
        <v>453.8</v>
      </c>
      <c r="K7" s="5">
        <f>J7/J3-1</f>
        <v>0.18609513852587556</v>
      </c>
      <c r="L7" s="8">
        <f t="shared" si="3"/>
        <v>442.73170731707324</v>
      </c>
      <c r="M7" s="5">
        <f>L7/L3-1</f>
        <v>0.1571659888057324</v>
      </c>
      <c r="N7" s="9">
        <f t="shared" si="0"/>
        <v>437697.56097560981</v>
      </c>
      <c r="O7" s="9">
        <f t="shared" si="4"/>
        <v>11631.560975609813</v>
      </c>
      <c r="P7" s="10">
        <f>N7/N$3-1</f>
        <v>0.1596142571502257</v>
      </c>
      <c r="Q7" s="9">
        <v>1752065232.8907003</v>
      </c>
      <c r="R7">
        <v>5</v>
      </c>
      <c r="S7" s="1">
        <f>(B7)/Q7*1000</f>
        <v>2.9450958235650911E-3</v>
      </c>
      <c r="T7" s="3">
        <f t="shared" si="1"/>
        <v>1.137064786249449E-2</v>
      </c>
    </row>
    <row r="8" spans="1:20" x14ac:dyDescent="0.25">
      <c r="A8" t="s">
        <v>42</v>
      </c>
      <c r="B8">
        <v>5289</v>
      </c>
      <c r="D8">
        <v>2.5</v>
      </c>
      <c r="E8" s="2">
        <f>'2015-16 Budget'!K8</f>
        <v>1.0506249999999999</v>
      </c>
      <c r="F8" s="9">
        <f>B8/E8</f>
        <v>5034.1463414634154</v>
      </c>
      <c r="G8" s="9">
        <f>F8-F$3</f>
        <v>-114.85365853658459</v>
      </c>
      <c r="H8" s="5">
        <f>G8/F$3</f>
        <v>-2.23060125338094E-2</v>
      </c>
      <c r="I8" s="5">
        <f t="shared" si="2"/>
        <v>0</v>
      </c>
      <c r="J8">
        <v>475.4</v>
      </c>
      <c r="K8" s="5">
        <f>J8/J3-1</f>
        <v>0.24255096706743329</v>
      </c>
      <c r="L8" s="8">
        <f t="shared" si="3"/>
        <v>452.49256395002976</v>
      </c>
      <c r="M8" s="5">
        <f>L8/L3-1</f>
        <v>0.18267789845799731</v>
      </c>
      <c r="N8" s="9">
        <f t="shared" si="0"/>
        <v>447458.41760856635</v>
      </c>
      <c r="O8" s="9">
        <f t="shared" si="4"/>
        <v>9760.8566329565365</v>
      </c>
      <c r="P8" s="10">
        <f>N8/N$3-1</f>
        <v>0.18547418766559454</v>
      </c>
      <c r="Q8" s="9">
        <v>1839668494.5352354</v>
      </c>
      <c r="R8">
        <v>5</v>
      </c>
      <c r="S8" s="1">
        <f>(B8)/Q8*1000</f>
        <v>2.8749744944325888E-3</v>
      </c>
      <c r="T8" s="3">
        <f t="shared" si="1"/>
        <v>1.1125368111064366E-2</v>
      </c>
    </row>
    <row r="9" spans="1:20" x14ac:dyDescent="0.25">
      <c r="F9" s="5">
        <f>(F8/F3)-1</f>
        <v>-2.2306012533809372E-2</v>
      </c>
      <c r="I9" s="10"/>
      <c r="L9" s="10">
        <f>L8/L3-1</f>
        <v>0.18267789845799731</v>
      </c>
      <c r="M9" s="10"/>
      <c r="N9" s="5">
        <f>(N8/N3)-1</f>
        <v>0.18547418766559454</v>
      </c>
      <c r="O9" s="6"/>
      <c r="P9" s="10"/>
      <c r="Q9" s="10"/>
      <c r="R9" s="10"/>
      <c r="S9" s="10"/>
    </row>
    <row r="11" spans="1:20" x14ac:dyDescent="0.25">
      <c r="A11" s="11" t="s">
        <v>70</v>
      </c>
    </row>
    <row r="12" spans="1:20" x14ac:dyDescent="0.25">
      <c r="A12" t="s">
        <v>50</v>
      </c>
    </row>
    <row r="13" spans="1:20" x14ac:dyDescent="0.25">
      <c r="A13" s="4" t="s">
        <v>49</v>
      </c>
    </row>
    <row r="14" spans="1:20" x14ac:dyDescent="0.25">
      <c r="A14" t="s">
        <v>51</v>
      </c>
    </row>
    <row r="15" spans="1:20" x14ac:dyDescent="0.25">
      <c r="A15" s="4" t="s">
        <v>46</v>
      </c>
    </row>
    <row r="16" spans="1:20" x14ac:dyDescent="0.25">
      <c r="A16" s="4" t="s">
        <v>47</v>
      </c>
    </row>
    <row r="17" spans="1:1" x14ac:dyDescent="0.25">
      <c r="A17" s="4" t="s">
        <v>48</v>
      </c>
    </row>
    <row r="18" spans="1:1" x14ac:dyDescent="0.25">
      <c r="A18" t="s">
        <v>71</v>
      </c>
    </row>
    <row r="19" spans="1:1" x14ac:dyDescent="0.25">
      <c r="A19" s="4" t="s">
        <v>52</v>
      </c>
    </row>
    <row r="20" spans="1:1" x14ac:dyDescent="0.25">
      <c r="A20" t="s">
        <v>53</v>
      </c>
    </row>
    <row r="21" spans="1:1" x14ac:dyDescent="0.25">
      <c r="A21" s="4" t="s">
        <v>52</v>
      </c>
    </row>
    <row r="22" spans="1:1" x14ac:dyDescent="0.25">
      <c r="A22" s="4" t="s">
        <v>54</v>
      </c>
    </row>
  </sheetData>
  <hyperlinks>
    <hyperlink ref="A15" r:id="rId1"/>
    <hyperlink ref="A16" r:id="rId2"/>
    <hyperlink ref="A17" r:id="rId3"/>
    <hyperlink ref="A13" r:id="rId4"/>
    <hyperlink ref="A19" r:id="rId5"/>
    <hyperlink ref="A21" r:id="rId6"/>
    <hyperlink ref="A22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70" zoomScaleNormal="70" workbookViewId="0">
      <selection activeCell="C3" sqref="C3:C8"/>
    </sheetView>
  </sheetViews>
  <sheetFormatPr defaultRowHeight="15" x14ac:dyDescent="0.25"/>
  <cols>
    <col min="2" max="2" width="15" customWidth="1"/>
    <col min="3" max="3" width="14" customWidth="1"/>
    <col min="5" max="5" width="16.7109375" customWidth="1"/>
    <col min="9" max="9" width="16.140625" customWidth="1"/>
    <col min="10" max="10" width="10.42578125" customWidth="1"/>
    <col min="13" max="13" width="20.5703125" customWidth="1"/>
    <col min="14" max="14" width="14.85546875" customWidth="1"/>
    <col min="15" max="15" width="22.85546875" customWidth="1"/>
    <col min="16" max="16" width="14" customWidth="1"/>
    <col min="17" max="17" width="18.7109375" customWidth="1"/>
    <col min="18" max="18" width="13.5703125" customWidth="1"/>
    <col min="19" max="19" width="24.42578125" bestFit="1" customWidth="1"/>
    <col min="20" max="23" width="24.42578125" customWidth="1"/>
    <col min="24" max="24" width="18" customWidth="1"/>
  </cols>
  <sheetData>
    <row r="1" spans="1:25" x14ac:dyDescent="0.25">
      <c r="A1" t="s">
        <v>0</v>
      </c>
      <c r="B1" t="s">
        <v>55</v>
      </c>
      <c r="C1" t="s">
        <v>55</v>
      </c>
      <c r="D1" t="s">
        <v>99</v>
      </c>
      <c r="E1" t="s">
        <v>68</v>
      </c>
      <c r="F1" t="s">
        <v>69</v>
      </c>
      <c r="G1" t="s">
        <v>126</v>
      </c>
      <c r="H1" t="s">
        <v>127</v>
      </c>
      <c r="I1" t="s">
        <v>128</v>
      </c>
      <c r="J1" t="s">
        <v>120</v>
      </c>
      <c r="K1" t="s">
        <v>58</v>
      </c>
      <c r="L1" t="s">
        <v>59</v>
      </c>
      <c r="M1" t="s">
        <v>60</v>
      </c>
      <c r="N1" t="s">
        <v>61</v>
      </c>
      <c r="O1" t="s">
        <v>65</v>
      </c>
      <c r="P1" t="s">
        <v>63</v>
      </c>
      <c r="Q1" t="s">
        <v>72</v>
      </c>
      <c r="R1" t="s">
        <v>64</v>
      </c>
      <c r="S1" t="s">
        <v>66</v>
      </c>
      <c r="T1" t="s">
        <v>67</v>
      </c>
      <c r="U1" t="s">
        <v>94</v>
      </c>
      <c r="V1" t="s">
        <v>108</v>
      </c>
      <c r="W1" t="s">
        <v>109</v>
      </c>
      <c r="X1" t="s">
        <v>74</v>
      </c>
      <c r="Y1" t="s">
        <v>62</v>
      </c>
    </row>
    <row r="2" spans="1:25" x14ac:dyDescent="0.25">
      <c r="B2" t="s">
        <v>98</v>
      </c>
      <c r="C2" t="s">
        <v>97</v>
      </c>
    </row>
    <row r="3" spans="1:25" x14ac:dyDescent="0.25">
      <c r="A3" t="s">
        <v>5</v>
      </c>
      <c r="B3">
        <v>5149</v>
      </c>
      <c r="C3">
        <v>5149</v>
      </c>
      <c r="D3">
        <f>B3-C3</f>
        <v>0</v>
      </c>
      <c r="F3" s="15">
        <v>2.4</v>
      </c>
      <c r="G3" s="15">
        <v>1</v>
      </c>
      <c r="H3">
        <f>G3/G$6*H$6</f>
        <v>0.92185413674841887</v>
      </c>
      <c r="I3" s="2">
        <f>H3</f>
        <v>0.92185413674841887</v>
      </c>
      <c r="J3" s="9">
        <f t="shared" ref="J3:J8" si="0">C3/I3</f>
        <v>5585.4823390624997</v>
      </c>
      <c r="N3">
        <v>382.6</v>
      </c>
      <c r="P3" s="8">
        <f t="shared" ref="P3:P8" si="1">N3/I3</f>
        <v>415.03312156250001</v>
      </c>
      <c r="R3">
        <f>P3*1000-J3</f>
        <v>409447.63922343752</v>
      </c>
      <c r="U3">
        <v>1483</v>
      </c>
      <c r="X3" s="1">
        <f>(C3/1000)/U3</f>
        <v>3.4720161834120027E-3</v>
      </c>
      <c r="Y3" s="3">
        <f t="shared" ref="Y3:Y8" si="2">C3/N3/1000</f>
        <v>1.3457919498170412E-2</v>
      </c>
    </row>
    <row r="4" spans="1:25" x14ac:dyDescent="0.25">
      <c r="A4" t="s">
        <v>4</v>
      </c>
      <c r="B4">
        <v>5032</v>
      </c>
      <c r="C4">
        <f>B4</f>
        <v>5032</v>
      </c>
      <c r="D4">
        <f t="shared" ref="D4" si="3">B4-C4</f>
        <v>0</v>
      </c>
      <c r="E4" s="5">
        <f>C4/C3-1</f>
        <v>-2.272285880753544E-2</v>
      </c>
      <c r="F4">
        <v>3.25</v>
      </c>
      <c r="G4">
        <f>G3*(1+F4/100)</f>
        <v>1.0325</v>
      </c>
      <c r="H4">
        <f>G4/G$6*H$6</f>
        <v>0.95181439619274244</v>
      </c>
      <c r="I4" s="2">
        <f t="shared" ref="I4:I8" si="4">H4</f>
        <v>0.95181439619274244</v>
      </c>
      <c r="J4" s="9">
        <f t="shared" si="0"/>
        <v>5286.7449999999999</v>
      </c>
      <c r="K4" s="9">
        <f>J4-J3</f>
        <v>-298.73733906249981</v>
      </c>
      <c r="L4" s="5">
        <f>K4/J$3</f>
        <v>-5.3484609014562146E-2</v>
      </c>
      <c r="M4" s="5">
        <f t="shared" ref="M4:M8" si="5">J4/J3-1</f>
        <v>-5.348460901456209E-2</v>
      </c>
      <c r="N4">
        <v>415.3</v>
      </c>
      <c r="O4" s="5">
        <f>N4/N3-1</f>
        <v>8.5467851542080364E-2</v>
      </c>
      <c r="P4" s="8">
        <f t="shared" si="1"/>
        <v>436.32456250000001</v>
      </c>
      <c r="Q4" s="5">
        <f>P4/P3-1</f>
        <v>5.1300582607341827E-2</v>
      </c>
      <c r="R4" s="9">
        <f>P4*1000-J4</f>
        <v>431037.8175</v>
      </c>
      <c r="S4" s="9">
        <f>R4-R3</f>
        <v>21590.178276562481</v>
      </c>
      <c r="T4" s="10">
        <f>R4/R$3-1</f>
        <v>5.2730010405019456E-2</v>
      </c>
      <c r="U4" s="9">
        <v>1546</v>
      </c>
      <c r="X4" s="1">
        <f>(C4/1000)/U4</f>
        <v>3.2548512289780076E-3</v>
      </c>
      <c r="Y4" s="3">
        <f t="shared" si="2"/>
        <v>1.2116542258608235E-2</v>
      </c>
    </row>
    <row r="5" spans="1:25" x14ac:dyDescent="0.25">
      <c r="A5" t="s">
        <v>45</v>
      </c>
      <c r="B5">
        <v>5032</v>
      </c>
      <c r="C5">
        <f>B5-D5</f>
        <v>5032</v>
      </c>
      <c r="D5">
        <v>0</v>
      </c>
      <c r="E5" s="5">
        <f>C5/C4-1</f>
        <v>0</v>
      </c>
      <c r="F5">
        <v>2.5</v>
      </c>
      <c r="G5">
        <f>G4*(1+F5/100)</f>
        <v>1.0583125</v>
      </c>
      <c r="H5">
        <f>G5/G$6*H$6</f>
        <v>0.97560975609756106</v>
      </c>
      <c r="I5" s="2">
        <f t="shared" si="4"/>
        <v>0.97560975609756106</v>
      </c>
      <c r="J5" s="9">
        <f t="shared" si="0"/>
        <v>5157.7999999999993</v>
      </c>
      <c r="K5" s="9">
        <f>J5-J$3</f>
        <v>-427.68233906250043</v>
      </c>
      <c r="L5" s="5">
        <f>K5/J$3</f>
        <v>-7.6570350258109515E-2</v>
      </c>
      <c r="M5" s="3">
        <f t="shared" si="5"/>
        <v>-2.4390243902439157E-2</v>
      </c>
      <c r="N5">
        <v>422.9</v>
      </c>
      <c r="O5" s="5">
        <f>N5/N3-1</f>
        <v>0.10533193936225804</v>
      </c>
      <c r="P5" s="8">
        <f t="shared" si="1"/>
        <v>433.47249999999991</v>
      </c>
      <c r="Q5" s="5">
        <f>P5/P3-1</f>
        <v>4.4428691300781198E-2</v>
      </c>
      <c r="R5" s="9">
        <f t="shared" ref="R5:R7" si="6">P5*1000-J5</f>
        <v>428314.6999999999</v>
      </c>
      <c r="S5" s="9">
        <f>R5-R4</f>
        <v>-2723.1175000001094</v>
      </c>
      <c r="T5" s="10">
        <f>R5/R$3-1</f>
        <v>4.6079300426168812E-2</v>
      </c>
      <c r="U5" s="9">
        <f>U4*(1+W5/100)</f>
        <v>1569.1899999999998</v>
      </c>
      <c r="V5">
        <v>2.5</v>
      </c>
      <c r="W5">
        <v>1.5</v>
      </c>
      <c r="X5" s="1">
        <f>(C5/1000)/U5</f>
        <v>3.206749979288678E-3</v>
      </c>
      <c r="Y5" s="3">
        <f t="shared" si="2"/>
        <v>1.1898794041144479E-2</v>
      </c>
    </row>
    <row r="6" spans="1:25" x14ac:dyDescent="0.25">
      <c r="A6" t="s">
        <v>44</v>
      </c>
      <c r="B6">
        <v>5034</v>
      </c>
      <c r="C6">
        <f>B6-D6</f>
        <v>4034</v>
      </c>
      <c r="D6">
        <v>1000</v>
      </c>
      <c r="E6" s="5">
        <f>C6/C5-1</f>
        <v>-0.19833068362480122</v>
      </c>
      <c r="F6">
        <v>2.5</v>
      </c>
      <c r="G6">
        <f>G5*(1+F6/100)</f>
        <v>1.0847703124999999</v>
      </c>
      <c r="H6">
        <v>1</v>
      </c>
      <c r="I6" s="2">
        <f t="shared" si="4"/>
        <v>1</v>
      </c>
      <c r="J6" s="9">
        <f t="shared" si="0"/>
        <v>4034</v>
      </c>
      <c r="K6" s="9">
        <f>J6-J$3</f>
        <v>-1551.4823390624997</v>
      </c>
      <c r="L6" s="16">
        <f>K6/J$3</f>
        <v>-0.2777705209471506</v>
      </c>
      <c r="M6" s="3">
        <f t="shared" si="5"/>
        <v>-0.21788359378029376</v>
      </c>
      <c r="N6">
        <v>436.5</v>
      </c>
      <c r="O6" s="5">
        <f>N6/N3-1</f>
        <v>0.14087820177731314</v>
      </c>
      <c r="P6" s="8">
        <f t="shared" si="1"/>
        <v>436.5</v>
      </c>
      <c r="Q6" s="5">
        <f>P6/P3-1</f>
        <v>5.1723289834513242E-2</v>
      </c>
      <c r="R6" s="9">
        <f t="shared" si="6"/>
        <v>432466</v>
      </c>
      <c r="S6" s="9">
        <f t="shared" ref="S6:S8" si="7">R6-R5</f>
        <v>4151.3000000001048</v>
      </c>
      <c r="T6" s="10">
        <f>R6/R$3-1</f>
        <v>5.6218081560365896E-2</v>
      </c>
      <c r="U6" s="9">
        <f>U5*(1+W6/100)</f>
        <v>1639.8035499999996</v>
      </c>
      <c r="V6">
        <v>3</v>
      </c>
      <c r="W6">
        <v>4.5</v>
      </c>
      <c r="X6" s="1">
        <f t="shared" ref="X6:X7" si="8">(C6/1000)/U6</f>
        <v>2.4600507786435763E-3</v>
      </c>
      <c r="Y6" s="3">
        <f t="shared" si="2"/>
        <v>9.241695303550972E-3</v>
      </c>
    </row>
    <row r="7" spans="1:25" x14ac:dyDescent="0.25">
      <c r="A7" t="s">
        <v>43</v>
      </c>
      <c r="B7">
        <v>5160</v>
      </c>
      <c r="C7">
        <f>B7-D7</f>
        <v>3810</v>
      </c>
      <c r="D7">
        <v>1350</v>
      </c>
      <c r="E7" s="5">
        <f>C7/C6-1</f>
        <v>-5.5528011898859697E-2</v>
      </c>
      <c r="F7">
        <v>2.5</v>
      </c>
      <c r="G7">
        <f>G6*(1+F7/100)</f>
        <v>1.1118895703124998</v>
      </c>
      <c r="H7">
        <f>G7/G$6*H$6</f>
        <v>1.0249999999999999</v>
      </c>
      <c r="I7" s="2">
        <f t="shared" si="4"/>
        <v>1.0249999999999999</v>
      </c>
      <c r="J7" s="9">
        <f t="shared" si="0"/>
        <v>3717.0731707317077</v>
      </c>
      <c r="K7" s="9">
        <f>J7-J$3</f>
        <v>-1868.409168330792</v>
      </c>
      <c r="L7" s="5">
        <f>K7/J$3</f>
        <v>-0.33451169566215061</v>
      </c>
      <c r="M7" s="5">
        <f t="shared" si="5"/>
        <v>-7.8563914047667938E-2</v>
      </c>
      <c r="N7">
        <v>456.1</v>
      </c>
      <c r="O7" s="5">
        <f>N7/N3-1</f>
        <v>0.19210663878724521</v>
      </c>
      <c r="P7" s="8">
        <f t="shared" si="1"/>
        <v>444.97560975609764</v>
      </c>
      <c r="Q7" s="5">
        <f>P7/P3-1</f>
        <v>7.214481601100009E-2</v>
      </c>
      <c r="R7" s="9">
        <f t="shared" si="6"/>
        <v>441258.53658536595</v>
      </c>
      <c r="S7" s="9">
        <f t="shared" si="7"/>
        <v>8792.5365853659459</v>
      </c>
      <c r="T7" s="10">
        <f>R7/R$3-1</f>
        <v>7.7692223167439067E-2</v>
      </c>
      <c r="U7" s="9">
        <f>U6*(1+W7/100)</f>
        <v>1725.8932363749996</v>
      </c>
      <c r="V7">
        <v>3.5</v>
      </c>
      <c r="W7">
        <v>5.25</v>
      </c>
      <c r="X7" s="1">
        <f t="shared" si="8"/>
        <v>2.2075525413161588E-3</v>
      </c>
      <c r="Y7" s="3">
        <f t="shared" si="2"/>
        <v>8.3534312650734473E-3</v>
      </c>
    </row>
    <row r="8" spans="1:25" x14ac:dyDescent="0.25">
      <c r="A8" t="s">
        <v>42</v>
      </c>
      <c r="B8">
        <v>5289</v>
      </c>
      <c r="C8">
        <f>B8-D8</f>
        <v>3912</v>
      </c>
      <c r="D8">
        <v>1377</v>
      </c>
      <c r="E8" s="5">
        <f>C8/C7-1</f>
        <v>2.6771653543307128E-2</v>
      </c>
      <c r="F8">
        <v>2.5</v>
      </c>
      <c r="G8">
        <f>G7*(1+F8/100)</f>
        <v>1.1396868095703121</v>
      </c>
      <c r="H8">
        <f>G8/G$6*H$6</f>
        <v>1.0506249999999997</v>
      </c>
      <c r="I8" s="2">
        <f t="shared" si="4"/>
        <v>1.0506249999999997</v>
      </c>
      <c r="J8" s="9">
        <f t="shared" si="0"/>
        <v>3723.4979179060092</v>
      </c>
      <c r="K8" s="9">
        <f>J8-J$3</f>
        <v>-1861.9844211564905</v>
      </c>
      <c r="L8" s="5">
        <f>K8/J$3</f>
        <v>-0.33336143740614116</v>
      </c>
      <c r="M8" s="5">
        <f t="shared" si="5"/>
        <v>1.7284424812753496E-3</v>
      </c>
      <c r="N8">
        <v>475.3</v>
      </c>
      <c r="O8" s="5">
        <f>N8/N3-1</f>
        <v>0.2422895974908521</v>
      </c>
      <c r="P8" s="8">
        <f t="shared" si="1"/>
        <v>452.39738251041064</v>
      </c>
      <c r="Q8" s="5">
        <f>P8/P3-1</f>
        <v>9.0027178571298494E-2</v>
      </c>
      <c r="R8" s="9">
        <f>P8*1000-J8</f>
        <v>448673.88459250459</v>
      </c>
      <c r="S8" s="9">
        <f t="shared" si="7"/>
        <v>7415.3480071386439</v>
      </c>
      <c r="T8" s="10">
        <f>R8/R$3-1</f>
        <v>9.5802836825397142E-2</v>
      </c>
      <c r="U8" s="9">
        <f>U7*(1+W8/100)</f>
        <v>1816.5026312846869</v>
      </c>
      <c r="V8">
        <v>3.5</v>
      </c>
      <c r="W8">
        <v>5.25</v>
      </c>
      <c r="X8" s="17">
        <f>(C8/1000)/U8</f>
        <v>2.1535889530935126E-3</v>
      </c>
      <c r="Y8" s="3">
        <f t="shared" si="2"/>
        <v>8.2305912055543867E-3</v>
      </c>
    </row>
    <row r="9" spans="1:25" x14ac:dyDescent="0.25">
      <c r="D9">
        <f>SUM(D3:D8)</f>
        <v>3727</v>
      </c>
      <c r="F9">
        <f>F3+F4+F5+F6</f>
        <v>10.65</v>
      </c>
      <c r="J9" s="5">
        <f>(J8/J3)-1</f>
        <v>-0.33336143740614121</v>
      </c>
      <c r="M9" s="10"/>
      <c r="P9" s="10">
        <f>P8/P3-1</f>
        <v>9.0027178571298494E-2</v>
      </c>
      <c r="Q9" s="10"/>
      <c r="R9" s="5">
        <f>(R8/R3)-1</f>
        <v>9.5802836825397142E-2</v>
      </c>
      <c r="S9" s="6"/>
      <c r="T9" s="10"/>
      <c r="U9" s="9"/>
      <c r="V9" s="10"/>
      <c r="W9" s="10"/>
      <c r="X9" s="10"/>
    </row>
    <row r="10" spans="1:25" x14ac:dyDescent="0.25">
      <c r="F10">
        <f>100-F9</f>
        <v>89.35</v>
      </c>
      <c r="I10" s="2"/>
      <c r="J10" s="5">
        <f>(J8/J5)-1</f>
        <v>-0.27808408276668162</v>
      </c>
    </row>
    <row r="11" spans="1:25" x14ac:dyDescent="0.25">
      <c r="A11" s="11" t="s">
        <v>70</v>
      </c>
      <c r="B11" s="11"/>
    </row>
    <row r="12" spans="1:25" x14ac:dyDescent="0.25">
      <c r="A12" t="s">
        <v>50</v>
      </c>
    </row>
    <row r="13" spans="1:25" x14ac:dyDescent="0.25">
      <c r="A13" s="4" t="s">
        <v>114</v>
      </c>
      <c r="B13" s="4"/>
    </row>
    <row r="14" spans="1:25" x14ac:dyDescent="0.25">
      <c r="A14" t="s">
        <v>117</v>
      </c>
    </row>
    <row r="15" spans="1:25" x14ac:dyDescent="0.25">
      <c r="A15" s="4" t="s">
        <v>111</v>
      </c>
      <c r="B15" s="4"/>
    </row>
    <row r="16" spans="1:25" x14ac:dyDescent="0.25">
      <c r="A16" t="s">
        <v>118</v>
      </c>
      <c r="B16" s="4"/>
    </row>
    <row r="17" spans="1:2" x14ac:dyDescent="0.25">
      <c r="A17" s="4" t="s">
        <v>111</v>
      </c>
      <c r="B17" s="4"/>
    </row>
    <row r="18" spans="1:2" x14ac:dyDescent="0.25">
      <c r="A18" t="s">
        <v>119</v>
      </c>
      <c r="B18" s="4"/>
    </row>
    <row r="19" spans="1:2" x14ac:dyDescent="0.25">
      <c r="A19" s="4" t="s">
        <v>111</v>
      </c>
      <c r="B19" s="4"/>
    </row>
    <row r="20" spans="1:2" x14ac:dyDescent="0.25">
      <c r="A20" t="s">
        <v>116</v>
      </c>
    </row>
    <row r="21" spans="1:2" x14ac:dyDescent="0.25">
      <c r="A21" s="4" t="s">
        <v>46</v>
      </c>
      <c r="B21" s="4"/>
    </row>
    <row r="22" spans="1:2" x14ac:dyDescent="0.25">
      <c r="A22" s="4" t="s">
        <v>47</v>
      </c>
    </row>
    <row r="23" spans="1:2" x14ac:dyDescent="0.25">
      <c r="A23" s="4" t="s">
        <v>48</v>
      </c>
      <c r="B23" s="4"/>
    </row>
    <row r="24" spans="1:2" x14ac:dyDescent="0.25">
      <c r="A24" t="s">
        <v>124</v>
      </c>
      <c r="B24" s="4"/>
    </row>
    <row r="25" spans="1:2" x14ac:dyDescent="0.25">
      <c r="A25" s="4" t="s">
        <v>125</v>
      </c>
    </row>
    <row r="30" spans="1:2" x14ac:dyDescent="0.25">
      <c r="A30" s="4"/>
    </row>
    <row r="32" spans="1:2" x14ac:dyDescent="0.25">
      <c r="A32" s="4"/>
    </row>
    <row r="33" spans="1:1" x14ac:dyDescent="0.25">
      <c r="A33" s="4"/>
    </row>
  </sheetData>
  <hyperlinks>
    <hyperlink ref="A21" r:id="rId1"/>
    <hyperlink ref="A22" r:id="rId2"/>
    <hyperlink ref="A23" r:id="rId3"/>
    <hyperlink ref="A15" r:id="rId4"/>
    <hyperlink ref="A17" r:id="rId5"/>
    <hyperlink ref="A19" r:id="rId6"/>
    <hyperlink ref="A13" r:id="rId7"/>
    <hyperlink ref="A25" r:id="rId8"/>
  </hyperlinks>
  <pageMargins left="0.7" right="0.7" top="0.75" bottom="0.75" header="0.3" footer="0.3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70" zoomScaleNormal="70" workbookViewId="0">
      <pane xSplit="1" topLeftCell="B1" activePane="topRight" state="frozen"/>
      <selection pane="topRight" activeCell="M9" sqref="M9"/>
    </sheetView>
  </sheetViews>
  <sheetFormatPr defaultColWidth="17.7109375" defaultRowHeight="15" x14ac:dyDescent="0.25"/>
  <sheetData>
    <row r="1" spans="1:27" x14ac:dyDescent="0.25">
      <c r="A1" t="s">
        <v>0</v>
      </c>
      <c r="B1" t="s">
        <v>55</v>
      </c>
      <c r="C1" t="s">
        <v>55</v>
      </c>
      <c r="D1" t="s">
        <v>55</v>
      </c>
      <c r="E1" t="s">
        <v>99</v>
      </c>
      <c r="F1" t="s">
        <v>68</v>
      </c>
      <c r="G1" t="s">
        <v>133</v>
      </c>
      <c r="H1" t="s">
        <v>69</v>
      </c>
      <c r="I1" t="s">
        <v>126</v>
      </c>
      <c r="J1" t="s">
        <v>127</v>
      </c>
      <c r="K1" t="s">
        <v>128</v>
      </c>
      <c r="L1" t="s">
        <v>120</v>
      </c>
      <c r="M1" t="s">
        <v>58</v>
      </c>
      <c r="N1" t="s">
        <v>59</v>
      </c>
      <c r="O1" t="s">
        <v>60</v>
      </c>
      <c r="P1" t="s">
        <v>61</v>
      </c>
      <c r="Q1" t="s">
        <v>65</v>
      </c>
      <c r="R1" t="s">
        <v>63</v>
      </c>
      <c r="S1" t="s">
        <v>72</v>
      </c>
      <c r="T1" t="s">
        <v>64</v>
      </c>
      <c r="U1" t="s">
        <v>66</v>
      </c>
      <c r="V1" t="s">
        <v>67</v>
      </c>
      <c r="W1" t="s">
        <v>94</v>
      </c>
      <c r="X1" t="s">
        <v>108</v>
      </c>
      <c r="Y1" t="s">
        <v>109</v>
      </c>
      <c r="Z1" t="s">
        <v>74</v>
      </c>
      <c r="AA1" t="s">
        <v>62</v>
      </c>
    </row>
    <row r="2" spans="1:27" x14ac:dyDescent="0.25">
      <c r="B2" t="s">
        <v>130</v>
      </c>
      <c r="C2" t="s">
        <v>131</v>
      </c>
      <c r="D2" t="s">
        <v>129</v>
      </c>
    </row>
    <row r="3" spans="1:27" x14ac:dyDescent="0.25">
      <c r="A3" t="s">
        <v>5</v>
      </c>
      <c r="B3">
        <v>5149</v>
      </c>
      <c r="C3">
        <v>5149</v>
      </c>
      <c r="D3">
        <v>5149</v>
      </c>
      <c r="E3">
        <f>B3-C3</f>
        <v>0</v>
      </c>
      <c r="H3" s="15">
        <v>2.4</v>
      </c>
      <c r="I3" s="15">
        <v>1</v>
      </c>
      <c r="J3" s="2">
        <f>I3/I$6*J$6</f>
        <v>0.93090313312903872</v>
      </c>
      <c r="K3" s="2">
        <f>J3</f>
        <v>0.93090313312903872</v>
      </c>
      <c r="L3" s="9">
        <f t="shared" ref="L3:L9" si="0">D3/K3</f>
        <v>5531.1877431250014</v>
      </c>
      <c r="P3">
        <v>382.6</v>
      </c>
      <c r="R3" s="8">
        <f>P3/K3</f>
        <v>410.99872412500008</v>
      </c>
      <c r="T3" s="9">
        <f>R3*1000-L3</f>
        <v>405467.53638187505</v>
      </c>
      <c r="W3">
        <v>1483</v>
      </c>
      <c r="Z3" s="1">
        <f>(D3/1000)/W3</f>
        <v>3.4720161834120027E-3</v>
      </c>
      <c r="AA3" s="3">
        <f t="shared" ref="AA3:AA9" si="1">D3/P3/1000</f>
        <v>1.3457919498170412E-2</v>
      </c>
    </row>
    <row r="4" spans="1:27" x14ac:dyDescent="0.25">
      <c r="A4" t="s">
        <v>4</v>
      </c>
      <c r="B4">
        <v>5032</v>
      </c>
      <c r="C4">
        <v>5032</v>
      </c>
      <c r="D4">
        <v>5032</v>
      </c>
      <c r="E4" s="9">
        <f>D4-D3</f>
        <v>-117</v>
      </c>
      <c r="F4" s="5">
        <f>D4/D3-1</f>
        <v>-2.272285880753544E-2</v>
      </c>
      <c r="G4" s="5">
        <f>E4/D$3</f>
        <v>-2.2722858807535443E-2</v>
      </c>
      <c r="H4">
        <v>3</v>
      </c>
      <c r="I4" s="2">
        <f t="shared" ref="I4:I9" si="2">I3*(1+H4/100)</f>
        <v>1.03</v>
      </c>
      <c r="J4" s="2">
        <f>I4/I$6*J$6</f>
        <v>0.95883022712290988</v>
      </c>
      <c r="K4" s="2">
        <f t="shared" ref="K4:K7" si="3">J4</f>
        <v>0.95883022712290988</v>
      </c>
      <c r="L4" s="9">
        <f t="shared" si="0"/>
        <v>5248.0615000000007</v>
      </c>
      <c r="M4" s="9">
        <f>L4-L3</f>
        <v>-283.12624312500066</v>
      </c>
      <c r="N4" s="5">
        <f t="shared" ref="N4:N9" si="4">M4/L$3</f>
        <v>-5.1187241560714129E-2</v>
      </c>
      <c r="O4" s="5">
        <f>L4/L3-1</f>
        <v>-5.1187241560714081E-2</v>
      </c>
      <c r="P4">
        <v>413.8</v>
      </c>
      <c r="Q4" s="5">
        <f>P4/P3-1</f>
        <v>8.1547307893361287E-2</v>
      </c>
      <c r="R4" s="8">
        <f t="shared" ref="R4:R7" si="5">P4/K4</f>
        <v>431.56753750000007</v>
      </c>
      <c r="S4" s="5">
        <f>R4/R3-1</f>
        <v>5.0045929993554505E-2</v>
      </c>
      <c r="T4" s="9">
        <f>R4*1000-L4</f>
        <v>426319.47600000008</v>
      </c>
      <c r="U4" s="9">
        <f>T4-T3</f>
        <v>20851.939618125034</v>
      </c>
      <c r="V4" s="10">
        <f t="shared" ref="V4:V9" si="6">T4/T$3-1</f>
        <v>5.1426902888931592E-2</v>
      </c>
      <c r="W4" s="9">
        <v>1546</v>
      </c>
      <c r="X4">
        <v>2.5</v>
      </c>
      <c r="Y4">
        <v>4</v>
      </c>
      <c r="Z4" s="1">
        <f t="shared" ref="Z4:Z9" si="7">(D4/1000)/W4</f>
        <v>3.2548512289780076E-3</v>
      </c>
      <c r="AA4" s="3">
        <f t="shared" si="1"/>
        <v>1.2160463992266795E-2</v>
      </c>
    </row>
    <row r="5" spans="1:27" x14ac:dyDescent="0.25">
      <c r="A5" t="s">
        <v>45</v>
      </c>
      <c r="B5">
        <v>5032</v>
      </c>
      <c r="C5">
        <v>5032</v>
      </c>
      <c r="D5">
        <v>5032</v>
      </c>
      <c r="E5" s="9">
        <f>D5-D$3</f>
        <v>-117</v>
      </c>
      <c r="F5" s="5">
        <f>D5/D4-1</f>
        <v>0</v>
      </c>
      <c r="G5" s="5">
        <f t="shared" ref="G5:G8" si="8">E5/D$3</f>
        <v>-2.2722858807535443E-2</v>
      </c>
      <c r="H5">
        <v>1.75</v>
      </c>
      <c r="I5" s="2">
        <f t="shared" si="2"/>
        <v>1.0480250000000002</v>
      </c>
      <c r="J5" s="2">
        <f>I5/I$6*J$6</f>
        <v>0.97560975609756095</v>
      </c>
      <c r="K5" s="2">
        <f t="shared" si="3"/>
        <v>0.97560975609756095</v>
      </c>
      <c r="L5" s="9">
        <f t="shared" si="0"/>
        <v>5157.8</v>
      </c>
      <c r="M5" s="9">
        <f>L5-L$3</f>
        <v>-373.38774312500118</v>
      </c>
      <c r="N5" s="5">
        <f t="shared" si="4"/>
        <v>-6.7505888511758455E-2</v>
      </c>
      <c r="O5" s="3">
        <f t="shared" ref="O5:O7" si="9">L5/L4-1</f>
        <v>-1.7199017199017286E-2</v>
      </c>
      <c r="P5">
        <v>420.3</v>
      </c>
      <c r="Q5" s="5">
        <f>P5/P3-1</f>
        <v>9.8536330371144842E-2</v>
      </c>
      <c r="R5" s="8">
        <f t="shared" si="5"/>
        <v>430.8075</v>
      </c>
      <c r="S5" s="5">
        <f>R5/R3-1</f>
        <v>4.8196684593539763E-2</v>
      </c>
      <c r="T5" s="9">
        <f t="shared" ref="T5:T7" si="10">R5*1000-L5</f>
        <v>425649.7</v>
      </c>
      <c r="U5" s="9">
        <f>T5-T4</f>
        <v>-669.77600000007078</v>
      </c>
      <c r="V5" s="10">
        <f t="shared" si="6"/>
        <v>4.9775041913878715E-2</v>
      </c>
      <c r="W5" s="9">
        <f>W4*(1+Y5/100)</f>
        <v>1569.1899999999998</v>
      </c>
      <c r="X5">
        <v>2.25</v>
      </c>
      <c r="Y5">
        <v>1.5</v>
      </c>
      <c r="Z5" s="1">
        <f t="shared" si="7"/>
        <v>3.206749979288678E-3</v>
      </c>
      <c r="AA5" s="3">
        <f t="shared" si="1"/>
        <v>1.1972400666190815E-2</v>
      </c>
    </row>
    <row r="6" spans="1:27" x14ac:dyDescent="0.25">
      <c r="A6" t="s">
        <v>44</v>
      </c>
      <c r="B6">
        <v>5034</v>
      </c>
      <c r="C6">
        <v>4034</v>
      </c>
      <c r="D6">
        <v>4052</v>
      </c>
      <c r="E6" s="9">
        <f>D6-D$3</f>
        <v>-1097</v>
      </c>
      <c r="F6" s="5">
        <f>D6/D5-1</f>
        <v>-0.19475357710651831</v>
      </c>
      <c r="G6" s="5">
        <f t="shared" si="8"/>
        <v>-0.21305107787919986</v>
      </c>
      <c r="H6">
        <v>2.5</v>
      </c>
      <c r="I6" s="2">
        <f t="shared" si="2"/>
        <v>1.0742256250000002</v>
      </c>
      <c r="J6" s="2">
        <v>1</v>
      </c>
      <c r="K6" s="2">
        <f t="shared" si="3"/>
        <v>1</v>
      </c>
      <c r="L6" s="9">
        <f t="shared" si="0"/>
        <v>4052</v>
      </c>
      <c r="M6" s="9">
        <f>L6-L$3</f>
        <v>-1479.1877431250014</v>
      </c>
      <c r="N6" s="16">
        <f t="shared" si="4"/>
        <v>-0.2674267827852273</v>
      </c>
      <c r="O6" s="3">
        <f t="shared" si="9"/>
        <v>-0.21439373376245685</v>
      </c>
      <c r="P6">
        <v>434.5</v>
      </c>
      <c r="Q6" s="5">
        <f>P6/P3-1</f>
        <v>0.13565081024568726</v>
      </c>
      <c r="R6" s="8">
        <f t="shared" si="5"/>
        <v>434.5</v>
      </c>
      <c r="S6" s="5">
        <f>R6/R3-1</f>
        <v>5.7180897398241726E-2</v>
      </c>
      <c r="T6" s="9">
        <f t="shared" si="10"/>
        <v>430448</v>
      </c>
      <c r="U6" s="9">
        <f>T6-T5</f>
        <v>4798.2999999999884</v>
      </c>
      <c r="V6" s="10">
        <f t="shared" si="6"/>
        <v>6.1609034945273589E-2</v>
      </c>
      <c r="W6" s="9">
        <f>W5*(1+Y6/100)</f>
        <v>1620.1886749999999</v>
      </c>
      <c r="X6">
        <v>2.75</v>
      </c>
      <c r="Y6">
        <v>3.25</v>
      </c>
      <c r="Z6" s="1">
        <f t="shared" si="7"/>
        <v>2.5009432929161786E-3</v>
      </c>
      <c r="AA6" s="3">
        <f t="shared" si="1"/>
        <v>9.3256616800920598E-3</v>
      </c>
    </row>
    <row r="7" spans="1:27" x14ac:dyDescent="0.25">
      <c r="A7" t="s">
        <v>43</v>
      </c>
      <c r="B7">
        <v>5160</v>
      </c>
      <c r="C7">
        <v>3810</v>
      </c>
      <c r="D7">
        <v>3828</v>
      </c>
      <c r="E7" s="9">
        <f>D7-D$3</f>
        <v>-1321</v>
      </c>
      <c r="F7" s="5">
        <f t="shared" ref="F7:F8" si="11">D7/D6-1</f>
        <v>-5.5281342546890433E-2</v>
      </c>
      <c r="G7" s="5">
        <f t="shared" si="8"/>
        <v>-0.25655467080986599</v>
      </c>
      <c r="H7">
        <v>2.5</v>
      </c>
      <c r="I7" s="2">
        <f t="shared" si="2"/>
        <v>1.1010812656250002</v>
      </c>
      <c r="J7" s="2">
        <f>I7/I$6*J$6</f>
        <v>1.0249999999999999</v>
      </c>
      <c r="K7" s="2">
        <f t="shared" si="3"/>
        <v>1.0249999999999999</v>
      </c>
      <c r="L7" s="9">
        <f t="shared" si="0"/>
        <v>3734.6341463414637</v>
      </c>
      <c r="M7" s="9">
        <f>L7-L$3</f>
        <v>-1796.5535967835376</v>
      </c>
      <c r="N7" s="5">
        <f t="shared" si="4"/>
        <v>-0.32480430609439481</v>
      </c>
      <c r="O7" s="5">
        <f t="shared" si="9"/>
        <v>-7.832326102135645E-2</v>
      </c>
      <c r="P7">
        <v>452.7</v>
      </c>
      <c r="Q7" s="5">
        <f>P7/P3-1</f>
        <v>0.18322007318348144</v>
      </c>
      <c r="R7" s="8">
        <f t="shared" si="5"/>
        <v>441.65853658536588</v>
      </c>
      <c r="S7" s="5">
        <f>R7/R3-1</f>
        <v>7.4598315422120365E-2</v>
      </c>
      <c r="T7" s="9">
        <f t="shared" si="10"/>
        <v>437923.90243902442</v>
      </c>
      <c r="U7" s="9">
        <f t="shared" ref="U7" si="12">T7-T6</f>
        <v>7475.9024390244158</v>
      </c>
      <c r="V7" s="10">
        <f t="shared" si="6"/>
        <v>8.0046768594024931E-2</v>
      </c>
      <c r="W7" s="9">
        <f>W6*(1+Y7/100)</f>
        <v>1709.2990521249997</v>
      </c>
      <c r="X7">
        <v>3.25</v>
      </c>
      <c r="Y7">
        <v>5.5</v>
      </c>
      <c r="Z7" s="1">
        <f t="shared" si="7"/>
        <v>2.2395144929385131E-3</v>
      </c>
      <c r="AA7" s="3">
        <f t="shared" si="1"/>
        <v>8.4559310801855542E-3</v>
      </c>
    </row>
    <row r="8" spans="1:27" x14ac:dyDescent="0.25">
      <c r="A8" t="s">
        <v>42</v>
      </c>
      <c r="B8">
        <v>5289</v>
      </c>
      <c r="C8">
        <v>3912</v>
      </c>
      <c r="D8">
        <v>3912</v>
      </c>
      <c r="E8" s="9">
        <f>D8-D$3</f>
        <v>-1237</v>
      </c>
      <c r="F8" s="5">
        <f t="shared" si="11"/>
        <v>2.1943573667711602E-2</v>
      </c>
      <c r="G8" s="5">
        <f t="shared" si="8"/>
        <v>-0.2402408234608662</v>
      </c>
      <c r="H8">
        <v>2.5</v>
      </c>
      <c r="I8" s="2">
        <f t="shared" si="2"/>
        <v>1.1286082972656251</v>
      </c>
      <c r="J8" s="2">
        <f>I8/I$6*J$6</f>
        <v>1.0506249999999999</v>
      </c>
      <c r="K8" s="2">
        <f>J8</f>
        <v>1.0506249999999999</v>
      </c>
      <c r="L8" s="9">
        <f t="shared" si="0"/>
        <v>3723.4979179060088</v>
      </c>
      <c r="M8" s="9">
        <f>L8-L$3</f>
        <v>-1807.6898252189926</v>
      </c>
      <c r="N8" s="5">
        <f t="shared" si="4"/>
        <v>-0.32681765819029801</v>
      </c>
      <c r="O8" s="5">
        <f>L8/L7-1</f>
        <v>-2.9818793485740791E-3</v>
      </c>
      <c r="P8">
        <v>471.8</v>
      </c>
      <c r="Q8" s="5">
        <f>P8/P3-1</f>
        <v>0.23314166231050693</v>
      </c>
      <c r="R8" s="8">
        <f>P8/K8</f>
        <v>449.06603212373591</v>
      </c>
      <c r="S8" s="5">
        <f>R8/R3-1</f>
        <v>9.2621474871435794E-2</v>
      </c>
      <c r="T8" s="9">
        <f>R8*1000-L8</f>
        <v>445342.5342058299</v>
      </c>
      <c r="U8" s="9">
        <f>T8-T7</f>
        <v>7418.6317668054835</v>
      </c>
      <c r="V8" s="10">
        <f t="shared" si="6"/>
        <v>9.8343256231492759E-2</v>
      </c>
      <c r="W8" s="9">
        <f>W7*(1+Y8/100)</f>
        <v>1799.0372523615622</v>
      </c>
      <c r="X8">
        <v>3.5</v>
      </c>
      <c r="Y8">
        <v>5.25</v>
      </c>
      <c r="Z8" s="1">
        <f t="shared" si="7"/>
        <v>2.1744963840325104E-3</v>
      </c>
      <c r="AA8" s="3">
        <f t="shared" si="1"/>
        <v>8.2916490038151755E-3</v>
      </c>
    </row>
    <row r="9" spans="1:27" x14ac:dyDescent="0.25">
      <c r="A9" t="s">
        <v>132</v>
      </c>
      <c r="D9">
        <v>4010</v>
      </c>
      <c r="E9" s="9">
        <f>D9-D$3</f>
        <v>-1139</v>
      </c>
      <c r="F9" s="5">
        <f>D9/D8-1</f>
        <v>2.5051124744376319E-2</v>
      </c>
      <c r="G9" s="5">
        <f>E9/D$3</f>
        <v>-0.22120800155369974</v>
      </c>
      <c r="H9">
        <v>2.5</v>
      </c>
      <c r="I9" s="2">
        <f t="shared" si="2"/>
        <v>1.1568235046972657</v>
      </c>
      <c r="J9" s="2">
        <f>I9/I$6*J$6</f>
        <v>1.0768906249999999</v>
      </c>
      <c r="K9" s="2">
        <f>J9</f>
        <v>1.0768906249999999</v>
      </c>
      <c r="L9" s="9">
        <f t="shared" si="0"/>
        <v>3723.6836377881928</v>
      </c>
      <c r="M9" s="9">
        <f>L9-L$3</f>
        <v>-1807.5041053368086</v>
      </c>
      <c r="N9" s="5">
        <f t="shared" si="4"/>
        <v>-0.32678408133649933</v>
      </c>
      <c r="O9" s="5">
        <f>L9/L8-1</f>
        <v>4.9877799391584432E-5</v>
      </c>
      <c r="P9">
        <v>499.4</v>
      </c>
      <c r="Q9" s="5">
        <f>P9/P3-1</f>
        <v>0.30527966544694185</v>
      </c>
      <c r="R9" s="8">
        <f>P9/K9</f>
        <v>463.74254581332252</v>
      </c>
      <c r="S9" s="5">
        <f>R9/R3-1</f>
        <v>0.12833086477485289</v>
      </c>
      <c r="T9" s="9">
        <f>R9*1000-L9</f>
        <v>460018.86217553436</v>
      </c>
      <c r="U9" s="9">
        <f>T9-T8</f>
        <v>14676.327969704464</v>
      </c>
      <c r="V9" s="10">
        <f t="shared" si="6"/>
        <v>0.13453931794500584</v>
      </c>
      <c r="W9" s="9">
        <f>W8*(1+Y9/100)</f>
        <v>1897.9843012414481</v>
      </c>
      <c r="X9">
        <v>3.5</v>
      </c>
      <c r="Y9">
        <v>5.5</v>
      </c>
      <c r="Z9" s="1">
        <f t="shared" si="7"/>
        <v>2.1127677385830369E-3</v>
      </c>
      <c r="AA9" s="3">
        <f t="shared" si="1"/>
        <v>8.0296355626752105E-3</v>
      </c>
    </row>
    <row r="10" spans="1:27" x14ac:dyDescent="0.25">
      <c r="L10" s="5"/>
      <c r="O10" s="10"/>
      <c r="R10" s="10"/>
      <c r="S10" s="10"/>
      <c r="T10" s="5"/>
      <c r="U10" s="6"/>
      <c r="V10" s="10"/>
      <c r="W10" s="9"/>
      <c r="X10" s="18"/>
      <c r="Y10" s="10"/>
      <c r="Z10" s="10"/>
    </row>
    <row r="11" spans="1:27" x14ac:dyDescent="0.25">
      <c r="K11" s="2"/>
      <c r="L11" s="5"/>
      <c r="W11" s="9"/>
    </row>
    <row r="12" spans="1:27" x14ac:dyDescent="0.25">
      <c r="A12" s="11" t="s">
        <v>70</v>
      </c>
      <c r="B12" s="11"/>
    </row>
    <row r="13" spans="1:27" x14ac:dyDescent="0.25">
      <c r="A13" t="s">
        <v>50</v>
      </c>
    </row>
    <row r="14" spans="1:27" x14ac:dyDescent="0.25">
      <c r="A14" s="4" t="s">
        <v>114</v>
      </c>
      <c r="B14" s="4"/>
    </row>
    <row r="15" spans="1:27" x14ac:dyDescent="0.25">
      <c r="A15" t="s">
        <v>117</v>
      </c>
    </row>
    <row r="16" spans="1:27" x14ac:dyDescent="0.25">
      <c r="A16" s="4" t="s">
        <v>111</v>
      </c>
      <c r="B16" s="4"/>
    </row>
    <row r="17" spans="1:2" x14ac:dyDescent="0.25">
      <c r="A17" t="s">
        <v>118</v>
      </c>
      <c r="B17" s="4"/>
    </row>
    <row r="18" spans="1:2" x14ac:dyDescent="0.25">
      <c r="A18" s="4" t="s">
        <v>111</v>
      </c>
      <c r="B18" s="4"/>
    </row>
    <row r="19" spans="1:2" x14ac:dyDescent="0.25">
      <c r="A19" t="s">
        <v>119</v>
      </c>
      <c r="B19" s="4"/>
    </row>
    <row r="20" spans="1:2" x14ac:dyDescent="0.25">
      <c r="A20" s="4" t="s">
        <v>111</v>
      </c>
      <c r="B20" s="4"/>
    </row>
    <row r="21" spans="1:2" x14ac:dyDescent="0.25">
      <c r="A21" t="s">
        <v>116</v>
      </c>
    </row>
    <row r="22" spans="1:2" x14ac:dyDescent="0.25">
      <c r="A22" s="4" t="s">
        <v>46</v>
      </c>
      <c r="B22" s="4"/>
    </row>
    <row r="23" spans="1:2" x14ac:dyDescent="0.25">
      <c r="A23" s="4" t="s">
        <v>47</v>
      </c>
    </row>
    <row r="24" spans="1:2" x14ac:dyDescent="0.25">
      <c r="A24" s="4" t="s">
        <v>48</v>
      </c>
      <c r="B24" s="4"/>
    </row>
    <row r="25" spans="1:2" x14ac:dyDescent="0.25">
      <c r="A25" t="s">
        <v>124</v>
      </c>
      <c r="B25" s="4"/>
    </row>
    <row r="26" spans="1:2" x14ac:dyDescent="0.25">
      <c r="A26" s="4" t="s">
        <v>125</v>
      </c>
    </row>
  </sheetData>
  <hyperlinks>
    <hyperlink ref="A22" r:id="rId1"/>
    <hyperlink ref="A23" r:id="rId2"/>
    <hyperlink ref="A24" r:id="rId3"/>
    <hyperlink ref="A16" r:id="rId4"/>
    <hyperlink ref="A18" r:id="rId5"/>
    <hyperlink ref="A20" r:id="rId6"/>
    <hyperlink ref="A14" r:id="rId7"/>
    <hyperlink ref="A26" r:id="rId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opLeftCell="A13" zoomScale="70" zoomScaleNormal="70" workbookViewId="0">
      <selection activeCell="F51" sqref="F51"/>
    </sheetView>
  </sheetViews>
  <sheetFormatPr defaultColWidth="27.140625" defaultRowHeight="15" x14ac:dyDescent="0.25"/>
  <cols>
    <col min="2" max="2" width="21.42578125" customWidth="1"/>
    <col min="3" max="4" width="43.42578125" customWidth="1"/>
    <col min="5" max="5" width="32.140625" customWidth="1"/>
    <col min="6" max="7" width="17.85546875" customWidth="1"/>
  </cols>
  <sheetData>
    <row r="1" spans="1:10" x14ac:dyDescent="0.25">
      <c r="B1" t="s">
        <v>75</v>
      </c>
      <c r="C1" s="19" t="s">
        <v>101</v>
      </c>
      <c r="D1" s="19"/>
      <c r="E1" t="s">
        <v>76</v>
      </c>
      <c r="F1" t="s">
        <v>77</v>
      </c>
    </row>
    <row r="2" spans="1:10" x14ac:dyDescent="0.25">
      <c r="A2" t="s">
        <v>40</v>
      </c>
      <c r="B2" t="s">
        <v>78</v>
      </c>
      <c r="C2" s="19" t="s">
        <v>78</v>
      </c>
      <c r="D2" s="19"/>
      <c r="E2" t="s">
        <v>79</v>
      </c>
      <c r="F2" t="s">
        <v>79</v>
      </c>
      <c r="I2" t="s">
        <v>78</v>
      </c>
      <c r="J2" t="s">
        <v>78</v>
      </c>
    </row>
    <row r="3" spans="1:10" x14ac:dyDescent="0.25">
      <c r="A3" t="s">
        <v>80</v>
      </c>
      <c r="B3" t="s">
        <v>55</v>
      </c>
      <c r="C3" s="19" t="s">
        <v>55</v>
      </c>
      <c r="D3" s="19"/>
      <c r="E3" t="s">
        <v>55</v>
      </c>
      <c r="F3" t="s">
        <v>55</v>
      </c>
      <c r="G3" t="s">
        <v>112</v>
      </c>
      <c r="H3" t="s">
        <v>105</v>
      </c>
      <c r="I3" t="s">
        <v>110</v>
      </c>
      <c r="J3" t="s">
        <v>110</v>
      </c>
    </row>
    <row r="4" spans="1:10" x14ac:dyDescent="0.25">
      <c r="A4" t="s">
        <v>81</v>
      </c>
      <c r="B4" t="s">
        <v>82</v>
      </c>
      <c r="C4" t="s">
        <v>100</v>
      </c>
      <c r="D4" t="s">
        <v>121</v>
      </c>
      <c r="E4" t="s">
        <v>83</v>
      </c>
      <c r="F4" t="s">
        <v>84</v>
      </c>
      <c r="I4" t="s">
        <v>82</v>
      </c>
      <c r="J4" t="s">
        <v>122</v>
      </c>
    </row>
    <row r="5" spans="1:10" x14ac:dyDescent="0.25">
      <c r="A5" t="s">
        <v>85</v>
      </c>
      <c r="B5">
        <v>200.5</v>
      </c>
      <c r="C5">
        <v>1979.7</v>
      </c>
      <c r="D5" s="9">
        <f>C5*(1+'2014-15 MYEFO '!F$9/100)</f>
        <v>2190.5380500000001</v>
      </c>
      <c r="E5" t="s">
        <v>86</v>
      </c>
      <c r="F5" s="12">
        <v>0.45</v>
      </c>
      <c r="G5" s="12"/>
    </row>
    <row r="6" spans="1:10" x14ac:dyDescent="0.25">
      <c r="A6" t="s">
        <v>87</v>
      </c>
      <c r="B6">
        <v>219.2</v>
      </c>
      <c r="C6">
        <v>2064.1</v>
      </c>
      <c r="D6" s="9">
        <f>C6*(1+'2014-15 MYEFO '!F$9/100)</f>
        <v>2283.9266499999999</v>
      </c>
      <c r="E6">
        <v>4.3</v>
      </c>
      <c r="F6" s="12">
        <v>0.44</v>
      </c>
      <c r="G6" s="14">
        <f>C6/C5-1</f>
        <v>4.2632722129615441E-2</v>
      </c>
      <c r="I6">
        <f>B6-B5</f>
        <v>18.699999999999989</v>
      </c>
      <c r="J6" s="8">
        <f t="shared" ref="J6:J51" si="0">D6-D5</f>
        <v>93.388599999999769</v>
      </c>
    </row>
    <row r="7" spans="1:10" x14ac:dyDescent="0.25">
      <c r="A7" t="s">
        <v>88</v>
      </c>
      <c r="B7">
        <v>264.89999999999998</v>
      </c>
      <c r="C7">
        <v>2190.3000000000002</v>
      </c>
      <c r="D7" s="9">
        <f>C7*(1+'2014-15 MYEFO '!F$9/100)</f>
        <v>2423.5669500000004</v>
      </c>
      <c r="E7">
        <v>6.1</v>
      </c>
      <c r="F7" s="12">
        <v>0.44</v>
      </c>
      <c r="G7" s="14">
        <f t="shared" ref="G7:G51" si="1">C7/C6-1</f>
        <v>6.1140448621675336E-2</v>
      </c>
      <c r="I7">
        <f t="shared" ref="I7:I51" si="2">B7-B6</f>
        <v>45.699999999999989</v>
      </c>
      <c r="J7" s="8">
        <f t="shared" si="0"/>
        <v>139.64030000000048</v>
      </c>
    </row>
    <row r="8" spans="1:10" x14ac:dyDescent="0.25">
      <c r="A8" t="s">
        <v>6</v>
      </c>
      <c r="B8">
        <v>279.54000000000002</v>
      </c>
      <c r="C8">
        <v>2268.6</v>
      </c>
      <c r="D8" s="9">
        <f>C8*(1+'2014-15 MYEFO '!F$9/100)</f>
        <v>2510.2058999999999</v>
      </c>
      <c r="E8">
        <v>3.6</v>
      </c>
      <c r="F8" s="12">
        <v>0.47</v>
      </c>
      <c r="G8" s="14">
        <f t="shared" si="1"/>
        <v>3.5748527598958857E-2</v>
      </c>
      <c r="I8">
        <f t="shared" si="2"/>
        <v>14.640000000000043</v>
      </c>
      <c r="J8" s="8">
        <f t="shared" si="0"/>
        <v>86.638949999999568</v>
      </c>
    </row>
    <row r="9" spans="1:10" x14ac:dyDescent="0.25">
      <c r="A9" t="s">
        <v>7</v>
      </c>
      <c r="B9">
        <v>305.113</v>
      </c>
      <c r="C9">
        <v>2092.8000000000002</v>
      </c>
      <c r="D9" s="9">
        <f>C9*(1+'2014-15 MYEFO '!F$9/100)</f>
        <v>2315.6832000000004</v>
      </c>
      <c r="E9">
        <v>-7.7</v>
      </c>
      <c r="F9" s="12">
        <v>0.43</v>
      </c>
      <c r="G9" s="14">
        <f t="shared" si="1"/>
        <v>-7.7492726791853928E-2</v>
      </c>
      <c r="I9">
        <f t="shared" si="2"/>
        <v>25.572999999999979</v>
      </c>
      <c r="J9" s="8">
        <f t="shared" si="0"/>
        <v>-194.52269999999953</v>
      </c>
    </row>
    <row r="10" spans="1:10" x14ac:dyDescent="0.25">
      <c r="A10" t="s">
        <v>8</v>
      </c>
      <c r="B10">
        <v>321.05700000000002</v>
      </c>
      <c r="C10">
        <v>2014.2</v>
      </c>
      <c r="D10" s="9">
        <f>C10*(1+'2014-15 MYEFO '!F$9/100)</f>
        <v>2228.7123000000001</v>
      </c>
      <c r="E10">
        <v>-3.8</v>
      </c>
      <c r="F10" s="12">
        <v>0.4</v>
      </c>
      <c r="G10" s="14">
        <f t="shared" si="1"/>
        <v>-3.7557339449541316E-2</v>
      </c>
      <c r="I10">
        <f t="shared" si="2"/>
        <v>15.944000000000017</v>
      </c>
      <c r="J10" s="8">
        <f t="shared" si="0"/>
        <v>-86.970900000000256</v>
      </c>
    </row>
    <row r="11" spans="1:10" x14ac:dyDescent="0.25">
      <c r="A11" t="s">
        <v>9</v>
      </c>
      <c r="B11">
        <v>339.40499999999997</v>
      </c>
      <c r="C11">
        <v>2044.1</v>
      </c>
      <c r="D11" s="9">
        <f>C11*(1+'2014-15 MYEFO '!F$9/100)</f>
        <v>2261.7966499999998</v>
      </c>
      <c r="E11">
        <v>1.5</v>
      </c>
      <c r="F11" s="12">
        <v>0.41</v>
      </c>
      <c r="G11" s="14">
        <f t="shared" si="1"/>
        <v>1.4844603316453098E-2</v>
      </c>
      <c r="I11">
        <f t="shared" si="2"/>
        <v>18.347999999999956</v>
      </c>
      <c r="J11" s="8">
        <f t="shared" si="0"/>
        <v>33.084349999999631</v>
      </c>
    </row>
    <row r="12" spans="1:10" x14ac:dyDescent="0.25">
      <c r="A12" t="s">
        <v>10</v>
      </c>
      <c r="B12">
        <v>391.56599999999997</v>
      </c>
      <c r="C12">
        <v>2126.6</v>
      </c>
      <c r="D12" s="9">
        <f>C12*(1+'2014-15 MYEFO '!F$9/100)</f>
        <v>2353.0828999999999</v>
      </c>
      <c r="E12">
        <v>4</v>
      </c>
      <c r="F12" s="12">
        <v>0.4</v>
      </c>
      <c r="G12" s="14">
        <f t="shared" si="1"/>
        <v>4.036006066239417E-2</v>
      </c>
      <c r="I12">
        <f t="shared" si="2"/>
        <v>52.161000000000001</v>
      </c>
      <c r="J12" s="8">
        <f t="shared" si="0"/>
        <v>91.286250000000109</v>
      </c>
    </row>
    <row r="13" spans="1:10" x14ac:dyDescent="0.25">
      <c r="A13" t="s">
        <v>11</v>
      </c>
      <c r="B13">
        <v>410.75400000000002</v>
      </c>
      <c r="C13">
        <v>2111.6</v>
      </c>
      <c r="D13" s="9">
        <f>C13*(1+'2014-15 MYEFO '!F$9/100)</f>
        <v>2336.4854</v>
      </c>
      <c r="E13">
        <v>-0.7</v>
      </c>
      <c r="F13" s="12">
        <v>0.38</v>
      </c>
      <c r="G13" s="14">
        <f t="shared" si="1"/>
        <v>-7.0535126492993205E-3</v>
      </c>
      <c r="I13">
        <f t="shared" si="2"/>
        <v>19.188000000000045</v>
      </c>
      <c r="J13" s="8">
        <f t="shared" si="0"/>
        <v>-16.597499999999854</v>
      </c>
    </row>
    <row r="14" spans="1:10" x14ac:dyDescent="0.25">
      <c r="A14" t="s">
        <v>12</v>
      </c>
      <c r="B14">
        <v>442.702</v>
      </c>
      <c r="C14">
        <v>2131.6</v>
      </c>
      <c r="D14" s="9">
        <f>C14*(1+'2014-15 MYEFO '!F$9/100)</f>
        <v>2358.6154000000001</v>
      </c>
      <c r="E14">
        <v>0.9</v>
      </c>
      <c r="F14" s="12">
        <v>0.37</v>
      </c>
      <c r="G14" s="14">
        <f t="shared" si="1"/>
        <v>9.4714908126538599E-3</v>
      </c>
      <c r="I14">
        <f t="shared" si="2"/>
        <v>31.947999999999979</v>
      </c>
      <c r="J14" s="8">
        <f t="shared" si="0"/>
        <v>22.130000000000109</v>
      </c>
    </row>
    <row r="15" spans="1:10" x14ac:dyDescent="0.25">
      <c r="A15" t="s">
        <v>13</v>
      </c>
      <c r="B15">
        <v>499.19099999999997</v>
      </c>
      <c r="C15">
        <v>2186.1999999999998</v>
      </c>
      <c r="D15" s="9">
        <f>C15*(1+'2014-15 MYEFO '!F$9/100)</f>
        <v>2419.0302999999999</v>
      </c>
      <c r="E15">
        <v>2.6</v>
      </c>
      <c r="F15" s="12">
        <v>0.38</v>
      </c>
      <c r="G15" s="14">
        <f t="shared" si="1"/>
        <v>2.5614561831488025E-2</v>
      </c>
      <c r="I15">
        <f t="shared" si="2"/>
        <v>56.488999999999976</v>
      </c>
      <c r="J15" s="8">
        <f t="shared" si="0"/>
        <v>60.414899999999761</v>
      </c>
    </row>
    <row r="16" spans="1:10" x14ac:dyDescent="0.25">
      <c r="A16" t="s">
        <v>14</v>
      </c>
      <c r="B16">
        <v>546.86800000000005</v>
      </c>
      <c r="C16">
        <v>2214.1999999999998</v>
      </c>
      <c r="D16" s="9">
        <f>C16*(1+'2014-15 MYEFO '!F$9/100)</f>
        <v>2450.0122999999999</v>
      </c>
      <c r="E16">
        <v>1.3</v>
      </c>
      <c r="F16" s="12">
        <v>0.4</v>
      </c>
      <c r="G16" s="14">
        <f t="shared" si="1"/>
        <v>1.280761138047759E-2</v>
      </c>
      <c r="I16">
        <f t="shared" si="2"/>
        <v>47.677000000000078</v>
      </c>
      <c r="J16" s="8">
        <f t="shared" si="0"/>
        <v>30.981999999999971</v>
      </c>
    </row>
    <row r="17" spans="1:10" x14ac:dyDescent="0.25">
      <c r="A17" t="s">
        <v>15</v>
      </c>
      <c r="B17">
        <v>931.8</v>
      </c>
      <c r="C17">
        <v>2595.5431754874653</v>
      </c>
      <c r="D17" s="9">
        <f>C17*(1+'2014-15 MYEFO '!F$9/100)</f>
        <v>2871.9685236768805</v>
      </c>
      <c r="E17" s="8">
        <v>17.472206572559195</v>
      </c>
      <c r="F17" s="12">
        <v>0.44093847304114103</v>
      </c>
      <c r="G17" s="14">
        <f t="shared" si="1"/>
        <v>0.17222616542654934</v>
      </c>
      <c r="I17">
        <f t="shared" si="2"/>
        <v>384.9319999999999</v>
      </c>
      <c r="J17" s="8">
        <f t="shared" si="0"/>
        <v>421.95622367688065</v>
      </c>
    </row>
    <row r="18" spans="1:10" x14ac:dyDescent="0.25">
      <c r="A18" t="s">
        <v>16</v>
      </c>
      <c r="B18">
        <v>1011.4</v>
      </c>
      <c r="C18">
        <v>2697.0666666666666</v>
      </c>
      <c r="D18" s="9">
        <f>C18*(1+'2014-15 MYEFO '!F$9/100)</f>
        <v>2984.3042666666665</v>
      </c>
      <c r="E18" s="8">
        <v>3.9114545324461543</v>
      </c>
      <c r="F18" s="12">
        <v>0.43546400985111383</v>
      </c>
      <c r="G18" s="14">
        <f t="shared" si="1"/>
        <v>3.9114545324461458E-2</v>
      </c>
      <c r="I18">
        <f t="shared" si="2"/>
        <v>79.600000000000023</v>
      </c>
      <c r="J18" s="8">
        <f t="shared" si="0"/>
        <v>112.33574298978601</v>
      </c>
    </row>
    <row r="19" spans="1:10" x14ac:dyDescent="0.25">
      <c r="A19" t="s">
        <v>17</v>
      </c>
      <c r="B19">
        <v>1031</v>
      </c>
      <c r="C19">
        <v>2583.9598997493736</v>
      </c>
      <c r="D19" s="9">
        <f>C19*(1+'2014-15 MYEFO '!F$9/100)</f>
        <v>2859.1516290726818</v>
      </c>
      <c r="E19" s="8">
        <v>-4.1936956292253207</v>
      </c>
      <c r="F19" s="12">
        <v>0.40233047292366647</v>
      </c>
      <c r="G19" s="14">
        <f t="shared" si="1"/>
        <v>-4.1936956292253247E-2</v>
      </c>
      <c r="I19">
        <f t="shared" si="2"/>
        <v>19.600000000000023</v>
      </c>
      <c r="J19" s="8">
        <f t="shared" si="0"/>
        <v>-125.15263759398476</v>
      </c>
    </row>
    <row r="20" spans="1:10" x14ac:dyDescent="0.25">
      <c r="A20" t="s">
        <v>18</v>
      </c>
      <c r="B20">
        <v>975.6</v>
      </c>
      <c r="C20">
        <v>2268.8372093023258</v>
      </c>
      <c r="D20" s="9">
        <f>C20*(1+'2014-15 MYEFO '!F$9/100)</f>
        <v>2510.4683720930238</v>
      </c>
      <c r="E20" s="8">
        <v>-12.1953398145851</v>
      </c>
      <c r="F20" s="12">
        <v>0.34691700448047791</v>
      </c>
      <c r="G20" s="14">
        <f t="shared" si="1"/>
        <v>-0.12195339814585071</v>
      </c>
      <c r="I20">
        <f t="shared" si="2"/>
        <v>-55.399999999999977</v>
      </c>
      <c r="J20" s="8">
        <f t="shared" si="0"/>
        <v>-348.68325697965793</v>
      </c>
    </row>
    <row r="21" spans="1:10" x14ac:dyDescent="0.25">
      <c r="A21" t="s">
        <v>19</v>
      </c>
      <c r="B21">
        <v>1019.6</v>
      </c>
      <c r="C21">
        <v>2226.2008733624457</v>
      </c>
      <c r="D21" s="9">
        <f>C21*(1+'2014-15 MYEFO '!F$9/100)</f>
        <v>2463.2912663755465</v>
      </c>
      <c r="E21" s="8">
        <v>-1.8792152987032047</v>
      </c>
      <c r="F21" s="12">
        <v>0.31995882836574974</v>
      </c>
      <c r="G21" s="14">
        <f t="shared" si="1"/>
        <v>-1.8792152987032074E-2</v>
      </c>
      <c r="H21" s="6">
        <f>C21/C18-1</f>
        <v>-0.17458441021265858</v>
      </c>
      <c r="I21">
        <f t="shared" si="2"/>
        <v>44</v>
      </c>
      <c r="J21" s="8">
        <f t="shared" si="0"/>
        <v>-47.177105717477389</v>
      </c>
    </row>
    <row r="22" spans="1:10" x14ac:dyDescent="0.25">
      <c r="A22" t="s">
        <v>20</v>
      </c>
      <c r="B22">
        <v>1194.5999999999999</v>
      </c>
      <c r="C22">
        <v>2398.7951807228915</v>
      </c>
      <c r="D22" s="9">
        <f>C22*(1+'2014-15 MYEFO '!F$9/100)</f>
        <v>2654.2668674698793</v>
      </c>
      <c r="E22" s="8">
        <v>7.7528631591883252</v>
      </c>
      <c r="F22" s="12">
        <v>0.33333054302240894</v>
      </c>
      <c r="G22" s="14">
        <f t="shared" si="1"/>
        <v>7.7528631591883279E-2</v>
      </c>
      <c r="I22">
        <f t="shared" si="2"/>
        <v>174.99999999999989</v>
      </c>
      <c r="J22" s="8">
        <f t="shared" si="0"/>
        <v>190.97560109433289</v>
      </c>
    </row>
    <row r="23" spans="1:10" x14ac:dyDescent="0.25">
      <c r="A23" t="s">
        <v>21</v>
      </c>
      <c r="B23">
        <v>1173.8</v>
      </c>
      <c r="C23">
        <v>2227.3244781783678</v>
      </c>
      <c r="D23" s="9">
        <f>C23*(1+'2014-15 MYEFO '!F$9/100)</f>
        <v>2464.5345351043643</v>
      </c>
      <c r="E23" s="8">
        <v>-7.1482010603693942</v>
      </c>
      <c r="F23" s="12">
        <v>0.30043434749335168</v>
      </c>
      <c r="G23" s="14">
        <f t="shared" si="1"/>
        <v>-7.1482010603693968E-2</v>
      </c>
      <c r="I23">
        <f t="shared" si="2"/>
        <v>-20.799999999999955</v>
      </c>
      <c r="J23" s="8">
        <f t="shared" si="0"/>
        <v>-189.73233236551505</v>
      </c>
    </row>
    <row r="24" spans="1:10" x14ac:dyDescent="0.25">
      <c r="A24" t="s">
        <v>22</v>
      </c>
      <c r="B24">
        <v>1261</v>
      </c>
      <c r="C24">
        <v>2296.903460837887</v>
      </c>
      <c r="D24" s="9">
        <f>C24*(1+'2014-15 MYEFO '!F$9/100)</f>
        <v>2541.5236794171219</v>
      </c>
      <c r="E24" s="8">
        <v>3.1238817397824676</v>
      </c>
      <c r="F24" s="12">
        <v>0.31625014107113747</v>
      </c>
      <c r="G24" s="14">
        <f t="shared" si="1"/>
        <v>3.1238817397824636E-2</v>
      </c>
      <c r="I24">
        <f t="shared" si="2"/>
        <v>87.200000000000045</v>
      </c>
      <c r="J24" s="8">
        <f t="shared" si="0"/>
        <v>76.989144312757617</v>
      </c>
    </row>
    <row r="25" spans="1:10" x14ac:dyDescent="0.25">
      <c r="A25" t="s">
        <v>23</v>
      </c>
      <c r="B25">
        <v>1330.3</v>
      </c>
      <c r="C25">
        <v>2375.5357142857142</v>
      </c>
      <c r="D25" s="9">
        <f>C25*(1+'2014-15 MYEFO '!F$9/100)</f>
        <v>2628.5302678571429</v>
      </c>
      <c r="E25" s="8">
        <v>3.4234026282995358</v>
      </c>
      <c r="F25" s="12">
        <v>0.32682291666666669</v>
      </c>
      <c r="G25" s="14">
        <f t="shared" si="1"/>
        <v>3.4234026282995433E-2</v>
      </c>
      <c r="I25">
        <f t="shared" si="2"/>
        <v>69.299999999999955</v>
      </c>
      <c r="J25" s="8">
        <f t="shared" si="0"/>
        <v>87.006588440021005</v>
      </c>
    </row>
    <row r="26" spans="1:10" x14ac:dyDescent="0.25">
      <c r="A26" t="s">
        <v>24</v>
      </c>
      <c r="B26">
        <v>1386.1</v>
      </c>
      <c r="C26">
        <v>2461.9893428063942</v>
      </c>
      <c r="D26" s="9">
        <f>C26*(1+'2014-15 MYEFO '!F$9/100)</f>
        <v>2724.1912078152754</v>
      </c>
      <c r="E26" s="8">
        <v>3.6393318778907622</v>
      </c>
      <c r="F26" s="12">
        <v>0.32046406136929545</v>
      </c>
      <c r="G26" s="14">
        <f t="shared" si="1"/>
        <v>3.6393318778907613E-2</v>
      </c>
      <c r="I26">
        <f t="shared" si="2"/>
        <v>55.799999999999955</v>
      </c>
      <c r="J26" s="8">
        <f t="shared" si="0"/>
        <v>95.660939958132531</v>
      </c>
    </row>
    <row r="27" spans="1:10" x14ac:dyDescent="0.25">
      <c r="A27" t="s">
        <v>25</v>
      </c>
      <c r="B27">
        <v>1410.8</v>
      </c>
      <c r="C27">
        <v>2479.4376098418275</v>
      </c>
      <c r="D27" s="9">
        <f>C27*(1+'2014-15 MYEFO '!F$9/100)</f>
        <v>2743.4977152899824</v>
      </c>
      <c r="E27" s="8">
        <v>0.70870603426512535</v>
      </c>
      <c r="F27" s="12">
        <v>0.30903355822307893</v>
      </c>
      <c r="G27" s="14">
        <f t="shared" si="1"/>
        <v>7.0870603426511636E-3</v>
      </c>
      <c r="I27">
        <f t="shared" si="2"/>
        <v>24.700000000000045</v>
      </c>
      <c r="J27" s="8">
        <f t="shared" si="0"/>
        <v>19.306507474706905</v>
      </c>
    </row>
    <row r="28" spans="1:10" x14ac:dyDescent="0.25">
      <c r="A28" t="s">
        <v>26</v>
      </c>
      <c r="B28">
        <v>1483.7</v>
      </c>
      <c r="C28">
        <v>2549.3127147766322</v>
      </c>
      <c r="D28" s="9">
        <f>C28*(1+'2014-15 MYEFO '!F$9/100)</f>
        <v>2820.8145189003435</v>
      </c>
      <c r="E28" s="8">
        <v>2.8181836339597335</v>
      </c>
      <c r="F28" s="12">
        <v>0.30984909553384593</v>
      </c>
      <c r="G28" s="14">
        <f t="shared" si="1"/>
        <v>2.8181836339597366E-2</v>
      </c>
      <c r="I28">
        <f t="shared" si="2"/>
        <v>72.900000000000091</v>
      </c>
      <c r="J28" s="8">
        <f t="shared" si="0"/>
        <v>77.316803610361148</v>
      </c>
    </row>
    <row r="29" spans="1:10" x14ac:dyDescent="0.25">
      <c r="A29" t="s">
        <v>27</v>
      </c>
      <c r="B29">
        <v>1556.5</v>
      </c>
      <c r="C29">
        <v>2598.4974958263774</v>
      </c>
      <c r="D29" s="9">
        <f>C29*(1+'2014-15 MYEFO '!F$9/100)</f>
        <v>2875.2374791318866</v>
      </c>
      <c r="E29" s="8">
        <v>1.9293349444599115</v>
      </c>
      <c r="F29" s="12">
        <v>0.30484461052747031</v>
      </c>
      <c r="G29" s="14">
        <f t="shared" si="1"/>
        <v>1.9293349444599039E-2</v>
      </c>
      <c r="I29">
        <f t="shared" si="2"/>
        <v>72.799999999999955</v>
      </c>
      <c r="J29" s="8">
        <f t="shared" si="0"/>
        <v>54.422960231543129</v>
      </c>
    </row>
    <row r="30" spans="1:10" x14ac:dyDescent="0.25">
      <c r="A30" t="s">
        <v>28</v>
      </c>
      <c r="B30">
        <v>1432</v>
      </c>
      <c r="C30">
        <v>2355.2631578947371</v>
      </c>
      <c r="D30" s="9">
        <f>C30*(1+'2014-15 MYEFO '!F$9/100)</f>
        <v>2606.0986842105267</v>
      </c>
      <c r="E30" s="8">
        <v>-9.3605761915228101</v>
      </c>
      <c r="F30" s="12">
        <v>0.2660641824100361</v>
      </c>
      <c r="G30" s="14">
        <f t="shared" si="1"/>
        <v>-9.360576191522807E-2</v>
      </c>
      <c r="I30">
        <f t="shared" si="2"/>
        <v>-124.5</v>
      </c>
      <c r="J30" s="8">
        <f t="shared" si="0"/>
        <v>-269.13879492135993</v>
      </c>
    </row>
    <row r="31" spans="1:10" x14ac:dyDescent="0.25">
      <c r="A31" t="s">
        <v>29</v>
      </c>
      <c r="B31">
        <v>1443</v>
      </c>
      <c r="C31">
        <v>2342.5324675324673</v>
      </c>
      <c r="D31" s="9">
        <f>C31*(1+'2014-15 MYEFO '!F$9/100)</f>
        <v>2592.0121753246754</v>
      </c>
      <c r="E31" s="8">
        <v>-0.54052093158240477</v>
      </c>
      <c r="F31" s="12">
        <v>0.25295686060025979</v>
      </c>
      <c r="G31" s="14">
        <f t="shared" si="1"/>
        <v>-5.405209315824E-3</v>
      </c>
      <c r="H31" s="6">
        <f>C31/C29-1</f>
        <v>-9.8505012494733202E-2</v>
      </c>
      <c r="I31">
        <f t="shared" si="2"/>
        <v>11</v>
      </c>
      <c r="J31" s="8">
        <f t="shared" si="0"/>
        <v>-14.086508885851345</v>
      </c>
    </row>
    <row r="32" spans="1:10" x14ac:dyDescent="0.25">
      <c r="A32" t="s">
        <v>30</v>
      </c>
      <c r="B32">
        <v>1528.6</v>
      </c>
      <c r="C32">
        <v>2469.4668820678512</v>
      </c>
      <c r="D32" s="9">
        <f>C32*(1+'2014-15 MYEFO '!F$9/100)</f>
        <v>2732.4651050080774</v>
      </c>
      <c r="E32" s="8">
        <v>5.4186832539013503</v>
      </c>
      <c r="F32" s="12">
        <v>0.25427337631661245</v>
      </c>
      <c r="G32" s="14">
        <f t="shared" si="1"/>
        <v>5.4186832539013574E-2</v>
      </c>
      <c r="I32">
        <f t="shared" si="2"/>
        <v>85.599999999999909</v>
      </c>
      <c r="J32" s="8">
        <f t="shared" si="0"/>
        <v>140.45292968340209</v>
      </c>
    </row>
    <row r="33" spans="1:10" x14ac:dyDescent="0.25">
      <c r="A33" t="s">
        <v>96</v>
      </c>
      <c r="B33">
        <v>1748.7</v>
      </c>
      <c r="C33">
        <v>2753.8582677165355</v>
      </c>
      <c r="D33" s="9">
        <f>C33*(1+'2014-15 MYEFO '!F$9/100)</f>
        <v>3047.1441732283465</v>
      </c>
      <c r="E33" s="8">
        <v>11.516306928989636</v>
      </c>
      <c r="F33" s="12">
        <v>0.27236451084349361</v>
      </c>
      <c r="G33" s="14">
        <f t="shared" si="1"/>
        <v>0.11516306928989639</v>
      </c>
      <c r="I33">
        <f t="shared" si="2"/>
        <v>220.10000000000014</v>
      </c>
      <c r="J33" s="8">
        <f t="shared" si="0"/>
        <v>314.67906822026907</v>
      </c>
    </row>
    <row r="34" spans="1:10" x14ac:dyDescent="0.25">
      <c r="A34" t="s">
        <v>32</v>
      </c>
      <c r="B34">
        <v>1623.1</v>
      </c>
      <c r="C34">
        <v>2448.1146304675713</v>
      </c>
      <c r="D34" s="9">
        <f>C34*(1+'2014-15 MYEFO '!F$9/100)</f>
        <v>2708.8388386123679</v>
      </c>
      <c r="E34" s="8">
        <v>-11.102373743529037</v>
      </c>
      <c r="F34" s="12">
        <v>0.23668250771759086</v>
      </c>
      <c r="G34" s="14">
        <f t="shared" si="1"/>
        <v>-0.11102373743529037</v>
      </c>
      <c r="I34">
        <f t="shared" si="2"/>
        <v>-125.60000000000014</v>
      </c>
      <c r="J34" s="8">
        <f t="shared" si="0"/>
        <v>-338.30533461597861</v>
      </c>
    </row>
    <row r="35" spans="1:10" x14ac:dyDescent="0.25">
      <c r="A35" t="s">
        <v>33</v>
      </c>
      <c r="B35">
        <v>1755.1</v>
      </c>
      <c r="C35">
        <v>2584.8306332842412</v>
      </c>
      <c r="D35" s="9">
        <f>C35*(1+'2014-15 MYEFO '!F$9/100)</f>
        <v>2860.1150957290129</v>
      </c>
      <c r="E35" s="8">
        <v>5.5845425338828294</v>
      </c>
      <c r="F35" s="12">
        <v>0.23932474722337749</v>
      </c>
      <c r="G35" s="14">
        <f t="shared" si="1"/>
        <v>5.5845425338828303E-2</v>
      </c>
      <c r="I35">
        <f t="shared" si="2"/>
        <v>132</v>
      </c>
      <c r="J35" s="8">
        <f t="shared" si="0"/>
        <v>151.27625711664496</v>
      </c>
    </row>
    <row r="36" spans="1:10" x14ac:dyDescent="0.25">
      <c r="A36" t="s">
        <v>34</v>
      </c>
      <c r="B36">
        <v>1830.8</v>
      </c>
      <c r="C36">
        <v>2615.4285714285716</v>
      </c>
      <c r="D36" s="9">
        <f>C36*(1+'2014-15 MYEFO '!F$9/100)</f>
        <v>2893.9717142857144</v>
      </c>
      <c r="E36" s="8">
        <v>1.183750213663056</v>
      </c>
      <c r="F36" s="2">
        <v>0.23511523317605904</v>
      </c>
      <c r="G36" s="14">
        <f t="shared" si="1"/>
        <v>1.1837502136630595E-2</v>
      </c>
      <c r="I36">
        <f t="shared" si="2"/>
        <v>75.700000000000045</v>
      </c>
      <c r="J36" s="8">
        <f t="shared" si="0"/>
        <v>33.856618556701505</v>
      </c>
    </row>
    <row r="37" spans="1:10" x14ac:dyDescent="0.25">
      <c r="A37" t="s">
        <v>35</v>
      </c>
      <c r="B37">
        <v>1973.1</v>
      </c>
      <c r="C37">
        <v>2721.5172413793102</v>
      </c>
      <c r="D37" s="9">
        <f>C37*(1+'2014-15 MYEFO '!F$9/100)</f>
        <v>3011.3588275862071</v>
      </c>
      <c r="E37" s="8">
        <v>4.0562633256236111</v>
      </c>
      <c r="F37" s="12">
        <v>0.23562300796396451</v>
      </c>
      <c r="G37" s="14">
        <f t="shared" si="1"/>
        <v>4.0562633256236102E-2</v>
      </c>
      <c r="I37">
        <f t="shared" si="2"/>
        <v>142.29999999999995</v>
      </c>
      <c r="J37" s="8">
        <f t="shared" si="0"/>
        <v>117.38711330049273</v>
      </c>
    </row>
    <row r="38" spans="1:10" x14ac:dyDescent="0.25">
      <c r="A38" t="s">
        <v>36</v>
      </c>
      <c r="B38">
        <v>2198.1</v>
      </c>
      <c r="C38">
        <v>2915.2519893899198</v>
      </c>
      <c r="D38" s="9">
        <f>C38*(1+'2014-15 MYEFO '!F$9/100)</f>
        <v>3225.7263262599463</v>
      </c>
      <c r="E38" s="8">
        <v>7.1186301914597312</v>
      </c>
      <c r="F38" s="12">
        <v>0.24741620536186631</v>
      </c>
      <c r="G38" s="14">
        <f t="shared" si="1"/>
        <v>7.1186301914597294E-2</v>
      </c>
      <c r="I38">
        <f t="shared" si="2"/>
        <v>225</v>
      </c>
      <c r="J38" s="8">
        <f t="shared" si="0"/>
        <v>214.36749867373919</v>
      </c>
    </row>
    <row r="39" spans="1:10" x14ac:dyDescent="0.25">
      <c r="A39" t="s">
        <v>41</v>
      </c>
      <c r="B39">
        <v>2683.5008565621001</v>
      </c>
      <c r="C39">
        <v>3383.9859477453974</v>
      </c>
      <c r="D39" s="9">
        <f>C39*(1+'2014-15 MYEFO '!F$9/100)</f>
        <v>3744.3804511802823</v>
      </c>
      <c r="E39" s="8">
        <v>16.078677248534198</v>
      </c>
      <c r="F39" s="12">
        <v>0.27967758729690945</v>
      </c>
      <c r="G39" s="14">
        <f t="shared" si="1"/>
        <v>0.16078677248534201</v>
      </c>
      <c r="I39">
        <f t="shared" si="2"/>
        <v>485.40085656210022</v>
      </c>
      <c r="J39" s="8">
        <f t="shared" si="0"/>
        <v>518.65412492033602</v>
      </c>
    </row>
    <row r="40" spans="1:10" x14ac:dyDescent="0.25">
      <c r="A40" t="s">
        <v>37</v>
      </c>
      <c r="B40">
        <v>2977.9141820124996</v>
      </c>
      <c r="C40">
        <v>3579.223776457331</v>
      </c>
      <c r="D40" s="9">
        <f>C40*(1+'2014-15 MYEFO '!F$9/100)</f>
        <v>3960.411108650037</v>
      </c>
      <c r="E40" s="8">
        <v>5.7694633407686604</v>
      </c>
      <c r="F40" s="12">
        <v>0.28659473509072553</v>
      </c>
      <c r="G40" s="14">
        <f t="shared" si="1"/>
        <v>5.7694633407686657E-2</v>
      </c>
      <c r="I40">
        <f t="shared" si="2"/>
        <v>294.4133254503995</v>
      </c>
      <c r="J40" s="8">
        <f t="shared" si="0"/>
        <v>216.03065746975471</v>
      </c>
    </row>
    <row r="41" spans="1:10" x14ac:dyDescent="0.25">
      <c r="A41" t="s">
        <v>38</v>
      </c>
      <c r="B41">
        <v>3115.0166879971998</v>
      </c>
      <c r="C41">
        <v>3580.4789517209192</v>
      </c>
      <c r="D41" s="9">
        <f>C41*(1+'2014-15 MYEFO '!F$9/100)</f>
        <v>3961.7999600791973</v>
      </c>
      <c r="E41" s="8">
        <v>3.5068365153478255E-2</v>
      </c>
      <c r="F41" s="12">
        <v>0.27546383687651327</v>
      </c>
      <c r="G41" s="14">
        <f t="shared" si="1"/>
        <v>3.5068365153478886E-4</v>
      </c>
      <c r="I41">
        <f t="shared" si="2"/>
        <v>137.1025059847002</v>
      </c>
      <c r="J41" s="8">
        <f t="shared" si="0"/>
        <v>1.3888514291602405</v>
      </c>
    </row>
    <row r="42" spans="1:10" x14ac:dyDescent="0.25">
      <c r="A42" t="s">
        <v>39</v>
      </c>
      <c r="B42">
        <v>3737.3768989748</v>
      </c>
      <c r="C42">
        <v>4080.1057849069875</v>
      </c>
      <c r="D42" s="9">
        <f>C42*(1+'2014-15 MYEFO '!F$9/100)</f>
        <v>4514.6370509995822</v>
      </c>
      <c r="E42" s="8">
        <v>13.954189926069191</v>
      </c>
      <c r="F42" s="12">
        <v>0.30767596755237459</v>
      </c>
      <c r="G42" s="14">
        <f t="shared" si="1"/>
        <v>0.13954189926069183</v>
      </c>
      <c r="I42">
        <f t="shared" si="2"/>
        <v>622.36021097760022</v>
      </c>
      <c r="J42" s="8">
        <f t="shared" si="0"/>
        <v>552.83709092038498</v>
      </c>
    </row>
    <row r="43" spans="1:10" x14ac:dyDescent="0.25">
      <c r="A43" t="s">
        <v>1</v>
      </c>
      <c r="B43">
        <v>3877.7029709799999</v>
      </c>
      <c r="C43">
        <v>4192.1113199783786</v>
      </c>
      <c r="D43" s="9">
        <f>C43*(1+'2014-15 MYEFO '!F$9/100)</f>
        <v>4638.571175556076</v>
      </c>
      <c r="E43" s="8">
        <v>2.7451625270530666</v>
      </c>
      <c r="F43" s="12">
        <v>0.31122385603469793</v>
      </c>
      <c r="G43" s="14">
        <f t="shared" si="1"/>
        <v>2.7451625270530577E-2</v>
      </c>
      <c r="I43">
        <f t="shared" si="2"/>
        <v>140.32607200519988</v>
      </c>
      <c r="J43" s="8">
        <f t="shared" si="0"/>
        <v>123.93412455649377</v>
      </c>
    </row>
    <row r="44" spans="1:10" x14ac:dyDescent="0.25">
      <c r="A44" t="s">
        <v>2</v>
      </c>
      <c r="B44">
        <v>4303.1378796107001</v>
      </c>
      <c r="C44">
        <v>4386.4810189711525</v>
      </c>
      <c r="D44" s="9">
        <f>C44*(1+'2014-15 MYEFO '!F$9/100)</f>
        <v>4853.6412474915805</v>
      </c>
      <c r="E44" s="8">
        <v>4.6365586253987265</v>
      </c>
      <c r="F44" s="12">
        <v>0.31809802838844864</v>
      </c>
      <c r="G44" s="14">
        <f t="shared" si="1"/>
        <v>4.6365586253987345E-2</v>
      </c>
      <c r="I44">
        <f t="shared" si="2"/>
        <v>425.43490863070019</v>
      </c>
      <c r="J44" s="8">
        <f t="shared" si="0"/>
        <v>215.07007193550453</v>
      </c>
    </row>
    <row r="45" spans="1:10" x14ac:dyDescent="0.25">
      <c r="A45" t="s">
        <v>3</v>
      </c>
      <c r="B45">
        <v>4825.1585243998998</v>
      </c>
      <c r="C45">
        <v>4825.1585243998998</v>
      </c>
      <c r="D45" s="9">
        <f>C45*(1+'2014-15 MYEFO '!F$9/100)</f>
        <v>5339.0379072484893</v>
      </c>
      <c r="E45" s="8">
        <v>10.000670321642904</v>
      </c>
      <c r="F45" s="12">
        <v>0.33423789505620555</v>
      </c>
      <c r="G45" s="14">
        <f t="shared" si="1"/>
        <v>0.10000670321642913</v>
      </c>
      <c r="I45">
        <f t="shared" si="2"/>
        <v>522.02064478919965</v>
      </c>
      <c r="J45" s="8">
        <f t="shared" si="0"/>
        <v>485.39665975690878</v>
      </c>
    </row>
    <row r="46" spans="1:10" x14ac:dyDescent="0.25">
      <c r="A46" t="s">
        <v>5</v>
      </c>
      <c r="B46">
        <f>'2015-16 Budget'!D3</f>
        <v>5149</v>
      </c>
      <c r="C46" s="9">
        <f>('2014-15 MYEFO '!J3)*('2014-15 MYEFO '!$F$10/100)</f>
        <v>4990.628469952343</v>
      </c>
      <c r="D46" s="9">
        <f>'2015-16 Budget'!L3</f>
        <v>5531.1877431250014</v>
      </c>
      <c r="E46" s="8">
        <f t="shared" ref="E46:E49" si="3">(D46/D45-1)*100</f>
        <v>3.5989599477396883</v>
      </c>
      <c r="F46" s="12">
        <v>0.34</v>
      </c>
      <c r="G46" s="14">
        <f t="shared" si="1"/>
        <v>3.429316253874215E-2</v>
      </c>
      <c r="I46">
        <f t="shared" si="2"/>
        <v>323.84147560010024</v>
      </c>
      <c r="J46" s="8">
        <f t="shared" si="0"/>
        <v>192.14983587651204</v>
      </c>
    </row>
    <row r="47" spans="1:10" x14ac:dyDescent="0.25">
      <c r="A47" t="s">
        <v>4</v>
      </c>
      <c r="B47">
        <f>'2015-16 Budget'!D4</f>
        <v>5032</v>
      </c>
      <c r="C47" s="9">
        <f>('2014-15 MYEFO '!J4)*('2014-15 MYEFO '!$F$10/100)</f>
        <v>4723.7066574999999</v>
      </c>
      <c r="D47" s="9">
        <f>'2015-16 Budget'!L4</f>
        <v>5248.0615000000007</v>
      </c>
      <c r="E47" s="8">
        <f t="shared" si="3"/>
        <v>-5.1187241560714085</v>
      </c>
      <c r="F47" s="12">
        <f>'2015-16 Budget'!Z4*100</f>
        <v>0.32548512289780074</v>
      </c>
      <c r="G47" s="14">
        <f t="shared" si="1"/>
        <v>-5.348460901456209E-2</v>
      </c>
      <c r="I47">
        <f t="shared" si="2"/>
        <v>-117</v>
      </c>
      <c r="J47" s="8">
        <f t="shared" si="0"/>
        <v>-283.12624312500066</v>
      </c>
    </row>
    <row r="48" spans="1:10" x14ac:dyDescent="0.25">
      <c r="A48" t="s">
        <v>45</v>
      </c>
      <c r="B48">
        <f>'2015-16 Budget'!D5</f>
        <v>5032</v>
      </c>
      <c r="C48" s="9">
        <f>('2014-15 MYEFO '!J5)*('2014-15 MYEFO '!$F$10/100)</f>
        <v>4608.4942999999994</v>
      </c>
      <c r="D48" s="9">
        <f>'2015-16 Budget'!L5</f>
        <v>5157.8</v>
      </c>
      <c r="E48" s="8">
        <f t="shared" si="3"/>
        <v>-1.7199017199017286</v>
      </c>
      <c r="F48" s="12">
        <f>'2015-16 Budget'!Z5*100</f>
        <v>0.32067499792886778</v>
      </c>
      <c r="G48" s="14">
        <f t="shared" si="1"/>
        <v>-2.4390243902439157E-2</v>
      </c>
      <c r="I48">
        <f t="shared" si="2"/>
        <v>0</v>
      </c>
      <c r="J48" s="8">
        <f t="shared" si="0"/>
        <v>-90.261500000000524</v>
      </c>
    </row>
    <row r="49" spans="1:10" x14ac:dyDescent="0.25">
      <c r="A49" t="s">
        <v>44</v>
      </c>
      <c r="B49">
        <f>'2015-16 Budget'!D6</f>
        <v>4052</v>
      </c>
      <c r="C49" s="9">
        <f>('2014-15 MYEFO '!J6)*('2014-15 MYEFO '!$F$10/100)</f>
        <v>3604.3789999999999</v>
      </c>
      <c r="D49" s="9">
        <f>'2015-16 Budget'!L6</f>
        <v>4052</v>
      </c>
      <c r="E49" s="8">
        <f t="shared" si="3"/>
        <v>-21.439373376245683</v>
      </c>
      <c r="F49" s="12">
        <f>'2015-16 Budget'!Z6*100</f>
        <v>0.25009432929161785</v>
      </c>
      <c r="G49" s="14">
        <f t="shared" si="1"/>
        <v>-0.21788359378029387</v>
      </c>
      <c r="I49">
        <f t="shared" si="2"/>
        <v>-980</v>
      </c>
      <c r="J49" s="8">
        <f t="shared" si="0"/>
        <v>-1105.8000000000002</v>
      </c>
    </row>
    <row r="50" spans="1:10" x14ac:dyDescent="0.25">
      <c r="A50" t="s">
        <v>43</v>
      </c>
      <c r="B50">
        <f>'2015-16 Budget'!D7</f>
        <v>3828</v>
      </c>
      <c r="C50" s="9">
        <f>('2014-15 MYEFO '!J7)*('2014-15 MYEFO '!$F$10/100)</f>
        <v>3321.2048780487808</v>
      </c>
      <c r="D50" s="9">
        <f>'2015-16 Budget'!L7</f>
        <v>3734.6341463414637</v>
      </c>
      <c r="E50" s="8">
        <f>(D50/D49-1)*100</f>
        <v>-7.832326102135645</v>
      </c>
      <c r="F50" s="12">
        <f>'2015-16 Budget'!Z7*100</f>
        <v>0.2239514492938513</v>
      </c>
      <c r="G50" s="14">
        <f t="shared" si="1"/>
        <v>-7.8563914047667938E-2</v>
      </c>
      <c r="H50" s="6">
        <f>C50/C46-1</f>
        <v>-0.33451169566215055</v>
      </c>
      <c r="I50">
        <f t="shared" si="2"/>
        <v>-224</v>
      </c>
      <c r="J50" s="8">
        <f t="shared" si="0"/>
        <v>-317.36585365853625</v>
      </c>
    </row>
    <row r="51" spans="1:10" x14ac:dyDescent="0.25">
      <c r="A51" t="s">
        <v>42</v>
      </c>
      <c r="B51">
        <f>'2015-16 Budget'!D8</f>
        <v>3912</v>
      </c>
      <c r="C51" s="9">
        <f>('2014-15 MYEFO '!J8)*('2014-15 MYEFO '!$F$10/100)</f>
        <v>3326.945389649019</v>
      </c>
      <c r="D51" s="9">
        <f>'2015-16 Budget'!L8</f>
        <v>3723.4979179060088</v>
      </c>
      <c r="E51" s="8">
        <f>(D51/D50-1)*100</f>
        <v>-0.29818793485740791</v>
      </c>
      <c r="F51" s="12">
        <f>'2015-16 Budget'!Z8*100</f>
        <v>0.21744963840325104</v>
      </c>
      <c r="G51" s="14">
        <f t="shared" si="1"/>
        <v>1.7284424812753496E-3</v>
      </c>
      <c r="H51" s="6"/>
      <c r="I51">
        <f t="shared" si="2"/>
        <v>84</v>
      </c>
      <c r="J51" s="8">
        <f t="shared" si="0"/>
        <v>-11.136228435454996</v>
      </c>
    </row>
    <row r="53" spans="1:10" x14ac:dyDescent="0.25">
      <c r="B53" t="s">
        <v>134</v>
      </c>
      <c r="C53" t="s">
        <v>102</v>
      </c>
      <c r="D53" s="12"/>
    </row>
    <row r="54" spans="1:10" x14ac:dyDescent="0.25">
      <c r="A54" t="str">
        <f t="shared" ref="A54:A100" si="4">A5</f>
        <v>1971-72</v>
      </c>
      <c r="B54" s="8">
        <f>D5</f>
        <v>2190.5380500000001</v>
      </c>
      <c r="C54">
        <f t="shared" ref="C54:C100" si="5">F5</f>
        <v>0.45</v>
      </c>
    </row>
    <row r="55" spans="1:10" x14ac:dyDescent="0.25">
      <c r="A55" t="str">
        <f t="shared" si="4"/>
        <v>1972-73</v>
      </c>
      <c r="B55" s="8">
        <f t="shared" ref="B55:B100" si="6">D6</f>
        <v>2283.9266499999999</v>
      </c>
      <c r="C55">
        <f t="shared" si="5"/>
        <v>0.44</v>
      </c>
    </row>
    <row r="56" spans="1:10" x14ac:dyDescent="0.25">
      <c r="A56" t="str">
        <f t="shared" si="4"/>
        <v>1973-74</v>
      </c>
      <c r="B56" s="8">
        <f t="shared" si="6"/>
        <v>2423.5669500000004</v>
      </c>
      <c r="C56">
        <f t="shared" si="5"/>
        <v>0.44</v>
      </c>
    </row>
    <row r="57" spans="1:10" x14ac:dyDescent="0.25">
      <c r="A57" t="str">
        <f t="shared" si="4"/>
        <v>1974-75</v>
      </c>
      <c r="B57" s="8">
        <f t="shared" si="6"/>
        <v>2510.2058999999999</v>
      </c>
      <c r="C57">
        <f t="shared" si="5"/>
        <v>0.47</v>
      </c>
    </row>
    <row r="58" spans="1:10" x14ac:dyDescent="0.25">
      <c r="A58" t="str">
        <f t="shared" si="4"/>
        <v>1975-76</v>
      </c>
      <c r="B58" s="8">
        <f t="shared" si="6"/>
        <v>2315.6832000000004</v>
      </c>
      <c r="C58">
        <f t="shared" si="5"/>
        <v>0.43</v>
      </c>
    </row>
    <row r="59" spans="1:10" x14ac:dyDescent="0.25">
      <c r="A59" t="str">
        <f t="shared" si="4"/>
        <v>1976-77</v>
      </c>
      <c r="B59" s="8">
        <f t="shared" si="6"/>
        <v>2228.7123000000001</v>
      </c>
      <c r="C59">
        <f t="shared" si="5"/>
        <v>0.4</v>
      </c>
    </row>
    <row r="60" spans="1:10" x14ac:dyDescent="0.25">
      <c r="A60" t="str">
        <f t="shared" si="4"/>
        <v>1977-78</v>
      </c>
      <c r="B60" s="8">
        <f t="shared" si="6"/>
        <v>2261.7966499999998</v>
      </c>
      <c r="C60">
        <f t="shared" si="5"/>
        <v>0.41</v>
      </c>
    </row>
    <row r="61" spans="1:10" x14ac:dyDescent="0.25">
      <c r="A61" t="str">
        <f t="shared" si="4"/>
        <v>1978-79</v>
      </c>
      <c r="B61" s="8">
        <f t="shared" si="6"/>
        <v>2353.0828999999999</v>
      </c>
      <c r="C61">
        <f t="shared" si="5"/>
        <v>0.4</v>
      </c>
    </row>
    <row r="62" spans="1:10" x14ac:dyDescent="0.25">
      <c r="A62" t="str">
        <f t="shared" si="4"/>
        <v>1979-80</v>
      </c>
      <c r="B62" s="8">
        <f t="shared" si="6"/>
        <v>2336.4854</v>
      </c>
      <c r="C62">
        <f t="shared" si="5"/>
        <v>0.38</v>
      </c>
    </row>
    <row r="63" spans="1:10" x14ac:dyDescent="0.25">
      <c r="A63" t="str">
        <f t="shared" si="4"/>
        <v>1980-81</v>
      </c>
      <c r="B63" s="8">
        <f t="shared" si="6"/>
        <v>2358.6154000000001</v>
      </c>
      <c r="C63">
        <f t="shared" si="5"/>
        <v>0.37</v>
      </c>
    </row>
    <row r="64" spans="1:10" x14ac:dyDescent="0.25">
      <c r="A64" t="str">
        <f t="shared" si="4"/>
        <v>1981-82</v>
      </c>
      <c r="B64" s="8">
        <f t="shared" si="6"/>
        <v>2419.0302999999999</v>
      </c>
      <c r="C64">
        <f t="shared" si="5"/>
        <v>0.38</v>
      </c>
    </row>
    <row r="65" spans="1:3" x14ac:dyDescent="0.25">
      <c r="A65" t="str">
        <f t="shared" si="4"/>
        <v>1982-83</v>
      </c>
      <c r="B65" s="8">
        <f t="shared" si="6"/>
        <v>2450.0122999999999</v>
      </c>
      <c r="C65">
        <f t="shared" si="5"/>
        <v>0.4</v>
      </c>
    </row>
    <row r="66" spans="1:3" x14ac:dyDescent="0.25">
      <c r="A66" t="str">
        <f t="shared" si="4"/>
        <v>1983-84</v>
      </c>
      <c r="B66" s="8">
        <f t="shared" si="6"/>
        <v>2871.9685236768805</v>
      </c>
      <c r="C66" s="12">
        <f>F17</f>
        <v>0.44093847304114103</v>
      </c>
    </row>
    <row r="67" spans="1:3" x14ac:dyDescent="0.25">
      <c r="A67" t="str">
        <f t="shared" si="4"/>
        <v>1984-85</v>
      </c>
      <c r="B67" s="8">
        <f t="shared" si="6"/>
        <v>2984.3042666666665</v>
      </c>
      <c r="C67">
        <f t="shared" si="5"/>
        <v>0.43546400985111383</v>
      </c>
    </row>
    <row r="68" spans="1:3" x14ac:dyDescent="0.25">
      <c r="A68" t="str">
        <f t="shared" si="4"/>
        <v>1985-86</v>
      </c>
      <c r="B68" s="8">
        <f t="shared" si="6"/>
        <v>2859.1516290726818</v>
      </c>
      <c r="C68">
        <f t="shared" si="5"/>
        <v>0.40233047292366647</v>
      </c>
    </row>
    <row r="69" spans="1:3" x14ac:dyDescent="0.25">
      <c r="A69" t="str">
        <f t="shared" si="4"/>
        <v>1986-87</v>
      </c>
      <c r="B69" s="8">
        <f t="shared" si="6"/>
        <v>2510.4683720930238</v>
      </c>
      <c r="C69">
        <f t="shared" si="5"/>
        <v>0.34691700448047791</v>
      </c>
    </row>
    <row r="70" spans="1:3" x14ac:dyDescent="0.25">
      <c r="A70" t="str">
        <f t="shared" si="4"/>
        <v>1987-88</v>
      </c>
      <c r="B70" s="8">
        <f t="shared" si="6"/>
        <v>2463.2912663755465</v>
      </c>
      <c r="C70">
        <f t="shared" si="5"/>
        <v>0.31995882836574974</v>
      </c>
    </row>
    <row r="71" spans="1:3" x14ac:dyDescent="0.25">
      <c r="A71" t="str">
        <f t="shared" si="4"/>
        <v>1988-89</v>
      </c>
      <c r="B71" s="8">
        <f t="shared" si="6"/>
        <v>2654.2668674698793</v>
      </c>
      <c r="C71">
        <f t="shared" si="5"/>
        <v>0.33333054302240894</v>
      </c>
    </row>
    <row r="72" spans="1:3" x14ac:dyDescent="0.25">
      <c r="A72" t="str">
        <f t="shared" si="4"/>
        <v>1989-90</v>
      </c>
      <c r="B72" s="8">
        <f t="shared" si="6"/>
        <v>2464.5345351043643</v>
      </c>
      <c r="C72">
        <f t="shared" si="5"/>
        <v>0.30043434749335168</v>
      </c>
    </row>
    <row r="73" spans="1:3" x14ac:dyDescent="0.25">
      <c r="A73" t="str">
        <f t="shared" si="4"/>
        <v>1990-91</v>
      </c>
      <c r="B73" s="8">
        <f t="shared" si="6"/>
        <v>2541.5236794171219</v>
      </c>
      <c r="C73">
        <f t="shared" si="5"/>
        <v>0.31625014107113747</v>
      </c>
    </row>
    <row r="74" spans="1:3" x14ac:dyDescent="0.25">
      <c r="A74" t="str">
        <f t="shared" si="4"/>
        <v>1991-92</v>
      </c>
      <c r="B74" s="8">
        <f t="shared" si="6"/>
        <v>2628.5302678571429</v>
      </c>
      <c r="C74">
        <f t="shared" si="5"/>
        <v>0.32682291666666669</v>
      </c>
    </row>
    <row r="75" spans="1:3" x14ac:dyDescent="0.25">
      <c r="A75" t="str">
        <f t="shared" si="4"/>
        <v>1992-93</v>
      </c>
      <c r="B75" s="8">
        <f t="shared" si="6"/>
        <v>2724.1912078152754</v>
      </c>
      <c r="C75">
        <f t="shared" si="5"/>
        <v>0.32046406136929545</v>
      </c>
    </row>
    <row r="76" spans="1:3" x14ac:dyDescent="0.25">
      <c r="A76" t="str">
        <f t="shared" si="4"/>
        <v>1993-94</v>
      </c>
      <c r="B76" s="8">
        <f t="shared" si="6"/>
        <v>2743.4977152899824</v>
      </c>
      <c r="C76">
        <f t="shared" si="5"/>
        <v>0.30903355822307893</v>
      </c>
    </row>
    <row r="77" spans="1:3" x14ac:dyDescent="0.25">
      <c r="A77" t="str">
        <f t="shared" si="4"/>
        <v>1994-95</v>
      </c>
      <c r="B77" s="8">
        <f t="shared" si="6"/>
        <v>2820.8145189003435</v>
      </c>
      <c r="C77">
        <f t="shared" si="5"/>
        <v>0.30984909553384593</v>
      </c>
    </row>
    <row r="78" spans="1:3" x14ac:dyDescent="0.25">
      <c r="A78" t="str">
        <f t="shared" si="4"/>
        <v>1995-96</v>
      </c>
      <c r="B78" s="8">
        <f t="shared" si="6"/>
        <v>2875.2374791318866</v>
      </c>
      <c r="C78">
        <f t="shared" si="5"/>
        <v>0.30484461052747031</v>
      </c>
    </row>
    <row r="79" spans="1:3" x14ac:dyDescent="0.25">
      <c r="A79" t="str">
        <f t="shared" si="4"/>
        <v>1996-97</v>
      </c>
      <c r="B79" s="8">
        <f t="shared" si="6"/>
        <v>2606.0986842105267</v>
      </c>
      <c r="C79">
        <f t="shared" si="5"/>
        <v>0.2660641824100361</v>
      </c>
    </row>
    <row r="80" spans="1:3" x14ac:dyDescent="0.25">
      <c r="A80" t="str">
        <f t="shared" si="4"/>
        <v>1997-98</v>
      </c>
      <c r="B80" s="8">
        <f t="shared" si="6"/>
        <v>2592.0121753246754</v>
      </c>
      <c r="C80">
        <f t="shared" si="5"/>
        <v>0.25295686060025979</v>
      </c>
    </row>
    <row r="81" spans="1:3" x14ac:dyDescent="0.25">
      <c r="A81" t="str">
        <f t="shared" si="4"/>
        <v>1998-99</v>
      </c>
      <c r="B81" s="8">
        <f t="shared" si="6"/>
        <v>2732.4651050080774</v>
      </c>
      <c r="C81">
        <f t="shared" si="5"/>
        <v>0.25427337631661245</v>
      </c>
    </row>
    <row r="82" spans="1:3" x14ac:dyDescent="0.25">
      <c r="A82" t="str">
        <f t="shared" si="4"/>
        <v>1999-00</v>
      </c>
      <c r="B82" s="8">
        <f t="shared" si="6"/>
        <v>3047.1441732283465</v>
      </c>
      <c r="C82">
        <f t="shared" si="5"/>
        <v>0.27236451084349361</v>
      </c>
    </row>
    <row r="83" spans="1:3" x14ac:dyDescent="0.25">
      <c r="A83" t="str">
        <f t="shared" si="4"/>
        <v>2000-01</v>
      </c>
      <c r="B83" s="8">
        <f t="shared" si="6"/>
        <v>2708.8388386123679</v>
      </c>
      <c r="C83">
        <f t="shared" si="5"/>
        <v>0.23668250771759086</v>
      </c>
    </row>
    <row r="84" spans="1:3" x14ac:dyDescent="0.25">
      <c r="A84" t="str">
        <f t="shared" si="4"/>
        <v>2001-02</v>
      </c>
      <c r="B84" s="8">
        <f t="shared" si="6"/>
        <v>2860.1150957290129</v>
      </c>
      <c r="C84">
        <f t="shared" si="5"/>
        <v>0.23932474722337749</v>
      </c>
    </row>
    <row r="85" spans="1:3" x14ac:dyDescent="0.25">
      <c r="A85" t="str">
        <f t="shared" si="4"/>
        <v>2002-03</v>
      </c>
      <c r="B85" s="8">
        <f t="shared" si="6"/>
        <v>2893.9717142857144</v>
      </c>
      <c r="C85">
        <f t="shared" si="5"/>
        <v>0.23511523317605904</v>
      </c>
    </row>
    <row r="86" spans="1:3" x14ac:dyDescent="0.25">
      <c r="A86" t="str">
        <f t="shared" si="4"/>
        <v>2003-04</v>
      </c>
      <c r="B86" s="8">
        <f t="shared" si="6"/>
        <v>3011.3588275862071</v>
      </c>
      <c r="C86">
        <f t="shared" si="5"/>
        <v>0.23562300796396451</v>
      </c>
    </row>
    <row r="87" spans="1:3" x14ac:dyDescent="0.25">
      <c r="A87" t="str">
        <f t="shared" si="4"/>
        <v>2004-05</v>
      </c>
      <c r="B87" s="8">
        <f t="shared" si="6"/>
        <v>3225.7263262599463</v>
      </c>
      <c r="C87">
        <f t="shared" si="5"/>
        <v>0.24741620536186631</v>
      </c>
    </row>
    <row r="88" spans="1:3" x14ac:dyDescent="0.25">
      <c r="A88" t="str">
        <f t="shared" si="4"/>
        <v>2005-06</v>
      </c>
      <c r="B88" s="8">
        <f>D39</f>
        <v>3744.3804511802823</v>
      </c>
      <c r="C88">
        <f t="shared" si="5"/>
        <v>0.27967758729690945</v>
      </c>
    </row>
    <row r="89" spans="1:3" x14ac:dyDescent="0.25">
      <c r="A89" t="str">
        <f t="shared" si="4"/>
        <v>2006-07</v>
      </c>
      <c r="B89" s="8">
        <f t="shared" si="6"/>
        <v>3960.411108650037</v>
      </c>
      <c r="C89">
        <f t="shared" si="5"/>
        <v>0.28659473509072553</v>
      </c>
    </row>
    <row r="90" spans="1:3" x14ac:dyDescent="0.25">
      <c r="A90" t="str">
        <f t="shared" si="4"/>
        <v>2007-08</v>
      </c>
      <c r="B90" s="8">
        <f t="shared" si="6"/>
        <v>3961.7999600791973</v>
      </c>
      <c r="C90">
        <f t="shared" si="5"/>
        <v>0.27546383687651327</v>
      </c>
    </row>
    <row r="91" spans="1:3" x14ac:dyDescent="0.25">
      <c r="A91" t="str">
        <f t="shared" si="4"/>
        <v>2008-09</v>
      </c>
      <c r="B91" s="8">
        <f t="shared" si="6"/>
        <v>4514.6370509995822</v>
      </c>
      <c r="C91">
        <f t="shared" si="5"/>
        <v>0.30767596755237459</v>
      </c>
    </row>
    <row r="92" spans="1:3" x14ac:dyDescent="0.25">
      <c r="A92" t="str">
        <f t="shared" si="4"/>
        <v>2009-10</v>
      </c>
      <c r="B92" s="8">
        <f t="shared" si="6"/>
        <v>4638.571175556076</v>
      </c>
      <c r="C92">
        <f t="shared" si="5"/>
        <v>0.31122385603469793</v>
      </c>
    </row>
    <row r="93" spans="1:3" x14ac:dyDescent="0.25">
      <c r="A93" t="str">
        <f t="shared" si="4"/>
        <v>2010-11</v>
      </c>
      <c r="B93" s="8">
        <f t="shared" si="6"/>
        <v>4853.6412474915805</v>
      </c>
      <c r="C93">
        <f t="shared" si="5"/>
        <v>0.31809802838844864</v>
      </c>
    </row>
    <row r="94" spans="1:3" x14ac:dyDescent="0.25">
      <c r="A94" t="str">
        <f t="shared" si="4"/>
        <v>2011-12</v>
      </c>
      <c r="B94" s="8">
        <f t="shared" si="6"/>
        <v>5339.0379072484893</v>
      </c>
      <c r="C94">
        <f t="shared" si="5"/>
        <v>0.33423789505620555</v>
      </c>
    </row>
    <row r="95" spans="1:3" x14ac:dyDescent="0.25">
      <c r="A95" t="str">
        <f t="shared" si="4"/>
        <v>2012-13</v>
      </c>
      <c r="B95" s="8">
        <f t="shared" si="6"/>
        <v>5531.1877431250014</v>
      </c>
      <c r="C95">
        <f t="shared" si="5"/>
        <v>0.34</v>
      </c>
    </row>
    <row r="96" spans="1:3" x14ac:dyDescent="0.25">
      <c r="A96" t="str">
        <f t="shared" si="4"/>
        <v>2013-14</v>
      </c>
      <c r="B96" s="8">
        <f t="shared" si="6"/>
        <v>5248.0615000000007</v>
      </c>
      <c r="C96">
        <f t="shared" si="5"/>
        <v>0.32548512289780074</v>
      </c>
    </row>
    <row r="97" spans="1:3" x14ac:dyDescent="0.25">
      <c r="A97" t="str">
        <f t="shared" si="4"/>
        <v>2014-15</v>
      </c>
      <c r="B97" s="8">
        <f t="shared" si="6"/>
        <v>5157.8</v>
      </c>
      <c r="C97">
        <f t="shared" si="5"/>
        <v>0.32067499792886778</v>
      </c>
    </row>
    <row r="98" spans="1:3" x14ac:dyDescent="0.25">
      <c r="A98" t="str">
        <f t="shared" si="4"/>
        <v>2015-16</v>
      </c>
      <c r="B98" s="8">
        <f t="shared" si="6"/>
        <v>4052</v>
      </c>
      <c r="C98">
        <f t="shared" si="5"/>
        <v>0.25009432929161785</v>
      </c>
    </row>
    <row r="99" spans="1:3" x14ac:dyDescent="0.25">
      <c r="A99" t="str">
        <f t="shared" si="4"/>
        <v>2016-17</v>
      </c>
      <c r="B99" s="8">
        <f t="shared" si="6"/>
        <v>3734.6341463414637</v>
      </c>
      <c r="C99">
        <f t="shared" si="5"/>
        <v>0.2239514492938513</v>
      </c>
    </row>
    <row r="100" spans="1:3" x14ac:dyDescent="0.25">
      <c r="A100" t="str">
        <f t="shared" si="4"/>
        <v>2017-18</v>
      </c>
      <c r="B100" s="8">
        <f t="shared" si="6"/>
        <v>3723.4979179060088</v>
      </c>
      <c r="C100">
        <f t="shared" si="5"/>
        <v>0.21744963840325104</v>
      </c>
    </row>
    <row r="111" spans="1:3" x14ac:dyDescent="0.25">
      <c r="B111" s="8"/>
    </row>
    <row r="112" spans="1:3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  <row r="202" spans="2:2" x14ac:dyDescent="0.25">
      <c r="B202" s="8"/>
    </row>
    <row r="203" spans="2:2" x14ac:dyDescent="0.25">
      <c r="B203" s="8"/>
    </row>
    <row r="204" spans="2:2" x14ac:dyDescent="0.25">
      <c r="B204" s="8"/>
    </row>
    <row r="205" spans="2:2" x14ac:dyDescent="0.25">
      <c r="B205" s="8"/>
    </row>
    <row r="206" spans="2:2" x14ac:dyDescent="0.25">
      <c r="B206" s="8"/>
    </row>
    <row r="207" spans="2:2" x14ac:dyDescent="0.25">
      <c r="B207" s="8"/>
    </row>
    <row r="208" spans="2:2" x14ac:dyDescent="0.25">
      <c r="B208" s="8"/>
    </row>
    <row r="209" spans="2:2" x14ac:dyDescent="0.25">
      <c r="B209" s="8"/>
    </row>
    <row r="210" spans="2:2" x14ac:dyDescent="0.25">
      <c r="B210" s="8"/>
    </row>
    <row r="211" spans="2:2" x14ac:dyDescent="0.25">
      <c r="B211" s="8"/>
    </row>
    <row r="212" spans="2:2" x14ac:dyDescent="0.25">
      <c r="B212" s="8"/>
    </row>
    <row r="213" spans="2:2" x14ac:dyDescent="0.25">
      <c r="B213" s="8"/>
    </row>
    <row r="214" spans="2:2" x14ac:dyDescent="0.25">
      <c r="B214" s="8"/>
    </row>
    <row r="215" spans="2:2" x14ac:dyDescent="0.25">
      <c r="B215" s="8"/>
    </row>
    <row r="216" spans="2:2" x14ac:dyDescent="0.25">
      <c r="B216" s="8"/>
    </row>
    <row r="217" spans="2:2" x14ac:dyDescent="0.25">
      <c r="B217" s="8"/>
    </row>
    <row r="218" spans="2:2" x14ac:dyDescent="0.25">
      <c r="B218" s="8"/>
    </row>
    <row r="219" spans="2:2" x14ac:dyDescent="0.25">
      <c r="B219" s="8"/>
    </row>
    <row r="220" spans="2:2" x14ac:dyDescent="0.25">
      <c r="B220" s="8"/>
    </row>
    <row r="221" spans="2:2" x14ac:dyDescent="0.25">
      <c r="B221" s="8"/>
    </row>
    <row r="222" spans="2:2" x14ac:dyDescent="0.25">
      <c r="B222" s="8"/>
    </row>
    <row r="223" spans="2:2" x14ac:dyDescent="0.25">
      <c r="B223" s="8"/>
    </row>
    <row r="224" spans="2:2" x14ac:dyDescent="0.25">
      <c r="B224" s="8"/>
    </row>
    <row r="225" spans="2:2" x14ac:dyDescent="0.25">
      <c r="B225" s="8"/>
    </row>
    <row r="226" spans="2:2" x14ac:dyDescent="0.25">
      <c r="B226" s="8"/>
    </row>
    <row r="227" spans="2:2" x14ac:dyDescent="0.25">
      <c r="B227" s="8"/>
    </row>
    <row r="228" spans="2:2" x14ac:dyDescent="0.25">
      <c r="B228" s="8"/>
    </row>
    <row r="229" spans="2:2" x14ac:dyDescent="0.25">
      <c r="B229" s="8"/>
    </row>
    <row r="230" spans="2:2" x14ac:dyDescent="0.25">
      <c r="B230" s="8"/>
    </row>
    <row r="231" spans="2:2" x14ac:dyDescent="0.25">
      <c r="B231" s="8"/>
    </row>
    <row r="232" spans="2:2" x14ac:dyDescent="0.25">
      <c r="B232" s="8"/>
    </row>
    <row r="233" spans="2:2" x14ac:dyDescent="0.25">
      <c r="B233" s="8"/>
    </row>
    <row r="234" spans="2:2" x14ac:dyDescent="0.25">
      <c r="B234" s="8"/>
    </row>
    <row r="235" spans="2:2" x14ac:dyDescent="0.25">
      <c r="B235" s="8"/>
    </row>
    <row r="236" spans="2:2" x14ac:dyDescent="0.25">
      <c r="B236" s="8"/>
    </row>
    <row r="237" spans="2:2" x14ac:dyDescent="0.25">
      <c r="B237" s="8"/>
    </row>
    <row r="238" spans="2:2" x14ac:dyDescent="0.25">
      <c r="B238" s="8"/>
    </row>
    <row r="239" spans="2:2" x14ac:dyDescent="0.25">
      <c r="B239" s="8"/>
    </row>
    <row r="240" spans="2:2" x14ac:dyDescent="0.25">
      <c r="B240" s="8"/>
    </row>
    <row r="241" spans="2:2" x14ac:dyDescent="0.25">
      <c r="B241" s="8"/>
    </row>
    <row r="242" spans="2:2" x14ac:dyDescent="0.25">
      <c r="B242" s="8"/>
    </row>
    <row r="243" spans="2:2" x14ac:dyDescent="0.25">
      <c r="B243" s="8"/>
    </row>
    <row r="244" spans="2:2" x14ac:dyDescent="0.25">
      <c r="B244" s="8"/>
    </row>
    <row r="245" spans="2:2" x14ac:dyDescent="0.25">
      <c r="B245" s="8"/>
    </row>
    <row r="246" spans="2:2" x14ac:dyDescent="0.25">
      <c r="B246" s="8"/>
    </row>
    <row r="247" spans="2:2" x14ac:dyDescent="0.25">
      <c r="B247" s="8"/>
    </row>
    <row r="248" spans="2:2" x14ac:dyDescent="0.25">
      <c r="B248" s="8"/>
    </row>
    <row r="249" spans="2:2" x14ac:dyDescent="0.25">
      <c r="B249" s="8"/>
    </row>
    <row r="250" spans="2:2" x14ac:dyDescent="0.25">
      <c r="B250" s="8"/>
    </row>
    <row r="251" spans="2:2" x14ac:dyDescent="0.25">
      <c r="B251" s="8"/>
    </row>
    <row r="252" spans="2:2" x14ac:dyDescent="0.25">
      <c r="B252" s="8"/>
    </row>
    <row r="253" spans="2:2" x14ac:dyDescent="0.25">
      <c r="B253" s="8"/>
    </row>
    <row r="254" spans="2:2" x14ac:dyDescent="0.25">
      <c r="B254" s="8"/>
    </row>
    <row r="255" spans="2:2" x14ac:dyDescent="0.25">
      <c r="B255" s="8"/>
    </row>
    <row r="256" spans="2:2" x14ac:dyDescent="0.25">
      <c r="B256" s="8"/>
    </row>
    <row r="257" spans="2:2" x14ac:dyDescent="0.25">
      <c r="B257" s="8"/>
    </row>
    <row r="258" spans="2:2" x14ac:dyDescent="0.25">
      <c r="B258" s="8"/>
    </row>
    <row r="259" spans="2:2" x14ac:dyDescent="0.25">
      <c r="B259" s="8"/>
    </row>
    <row r="260" spans="2:2" x14ac:dyDescent="0.25">
      <c r="B260" s="8"/>
    </row>
    <row r="261" spans="2:2" x14ac:dyDescent="0.25">
      <c r="B261" s="8"/>
    </row>
    <row r="262" spans="2:2" x14ac:dyDescent="0.25">
      <c r="B262" s="8"/>
    </row>
    <row r="263" spans="2:2" x14ac:dyDescent="0.25">
      <c r="B263" s="8"/>
    </row>
    <row r="264" spans="2:2" x14ac:dyDescent="0.25">
      <c r="B264" s="8"/>
    </row>
    <row r="265" spans="2:2" x14ac:dyDescent="0.25">
      <c r="B265" s="8"/>
    </row>
    <row r="266" spans="2:2" x14ac:dyDescent="0.25">
      <c r="B266" s="8"/>
    </row>
    <row r="267" spans="2:2" x14ac:dyDescent="0.25">
      <c r="B267" s="8"/>
    </row>
    <row r="268" spans="2:2" x14ac:dyDescent="0.25">
      <c r="B268" s="8"/>
    </row>
    <row r="269" spans="2:2" x14ac:dyDescent="0.25">
      <c r="B269" s="8"/>
    </row>
    <row r="270" spans="2:2" x14ac:dyDescent="0.25">
      <c r="B270" s="8"/>
    </row>
    <row r="271" spans="2:2" x14ac:dyDescent="0.25">
      <c r="B271" s="8"/>
    </row>
    <row r="272" spans="2:2" x14ac:dyDescent="0.25">
      <c r="B272" s="8"/>
    </row>
    <row r="273" spans="2:2" x14ac:dyDescent="0.25">
      <c r="B273" s="8"/>
    </row>
    <row r="274" spans="2:2" x14ac:dyDescent="0.25">
      <c r="B274" s="8"/>
    </row>
    <row r="275" spans="2:2" x14ac:dyDescent="0.25">
      <c r="B275" s="8"/>
    </row>
    <row r="276" spans="2:2" x14ac:dyDescent="0.25">
      <c r="B276" s="8"/>
    </row>
    <row r="277" spans="2:2" x14ac:dyDescent="0.25">
      <c r="B277" s="8"/>
    </row>
    <row r="278" spans="2:2" x14ac:dyDescent="0.25">
      <c r="B278" s="8"/>
    </row>
    <row r="279" spans="2:2" x14ac:dyDescent="0.25">
      <c r="B279" s="8"/>
    </row>
    <row r="280" spans="2:2" x14ac:dyDescent="0.25">
      <c r="B280" s="8"/>
    </row>
    <row r="281" spans="2:2" x14ac:dyDescent="0.25">
      <c r="B281" s="8"/>
    </row>
    <row r="282" spans="2:2" x14ac:dyDescent="0.25">
      <c r="B282" s="8"/>
    </row>
    <row r="283" spans="2:2" x14ac:dyDescent="0.25">
      <c r="B283" s="8"/>
    </row>
    <row r="284" spans="2:2" x14ac:dyDescent="0.25">
      <c r="B284" s="8"/>
    </row>
    <row r="285" spans="2:2" x14ac:dyDescent="0.25">
      <c r="B285" s="8"/>
    </row>
    <row r="286" spans="2:2" x14ac:dyDescent="0.25">
      <c r="B286" s="8"/>
    </row>
    <row r="287" spans="2:2" x14ac:dyDescent="0.25">
      <c r="B287" s="8"/>
    </row>
    <row r="288" spans="2:2" x14ac:dyDescent="0.25">
      <c r="B288" s="8"/>
    </row>
    <row r="289" spans="2:2" x14ac:dyDescent="0.25">
      <c r="B289" s="8"/>
    </row>
    <row r="290" spans="2:2" x14ac:dyDescent="0.25">
      <c r="B290" s="8"/>
    </row>
    <row r="291" spans="2:2" x14ac:dyDescent="0.25">
      <c r="B291" s="8"/>
    </row>
    <row r="292" spans="2:2" x14ac:dyDescent="0.25">
      <c r="B292" s="8"/>
    </row>
    <row r="293" spans="2:2" x14ac:dyDescent="0.25">
      <c r="B293" s="8"/>
    </row>
    <row r="294" spans="2:2" x14ac:dyDescent="0.25">
      <c r="B294" s="8"/>
    </row>
    <row r="295" spans="2:2" x14ac:dyDescent="0.25">
      <c r="B295" s="8"/>
    </row>
    <row r="296" spans="2:2" x14ac:dyDescent="0.25">
      <c r="B296" s="8"/>
    </row>
    <row r="297" spans="2:2" x14ac:dyDescent="0.25">
      <c r="B297" s="8"/>
    </row>
    <row r="298" spans="2:2" x14ac:dyDescent="0.25">
      <c r="B298" s="8"/>
    </row>
    <row r="299" spans="2:2" x14ac:dyDescent="0.25">
      <c r="B299" s="8"/>
    </row>
    <row r="300" spans="2:2" x14ac:dyDescent="0.25">
      <c r="B300" s="8"/>
    </row>
    <row r="301" spans="2:2" x14ac:dyDescent="0.25">
      <c r="B301" s="8"/>
    </row>
    <row r="302" spans="2:2" x14ac:dyDescent="0.25">
      <c r="B302" s="8"/>
    </row>
    <row r="303" spans="2:2" x14ac:dyDescent="0.25">
      <c r="B303" s="8"/>
    </row>
    <row r="304" spans="2:2" x14ac:dyDescent="0.25">
      <c r="B304" s="8"/>
    </row>
    <row r="305" spans="2:2" x14ac:dyDescent="0.25">
      <c r="B305" s="8"/>
    </row>
  </sheetData>
  <mergeCells count="3">
    <mergeCell ref="C1:D1"/>
    <mergeCell ref="C2:D2"/>
    <mergeCell ref="C3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activeCell="H1" sqref="H1"/>
    </sheetView>
  </sheetViews>
  <sheetFormatPr defaultRowHeight="15" x14ac:dyDescent="0.25"/>
  <cols>
    <col min="1" max="1" width="17.7109375" bestFit="1" customWidth="1"/>
    <col min="3" max="3" width="19.5703125" bestFit="1" customWidth="1"/>
    <col min="4" max="4" width="43" bestFit="1" customWidth="1"/>
    <col min="5" max="5" width="43" customWidth="1"/>
    <col min="6" max="6" width="29.7109375" bestFit="1" customWidth="1"/>
    <col min="7" max="7" width="14.28515625" bestFit="1" customWidth="1"/>
  </cols>
  <sheetData>
    <row r="1" spans="1:8" x14ac:dyDescent="0.25">
      <c r="C1" t="s">
        <v>75</v>
      </c>
      <c r="D1" t="s">
        <v>123</v>
      </c>
      <c r="E1" t="s">
        <v>92</v>
      </c>
      <c r="F1" t="s">
        <v>76</v>
      </c>
      <c r="G1" t="s">
        <v>77</v>
      </c>
      <c r="H1" t="s">
        <v>93</v>
      </c>
    </row>
    <row r="2" spans="1:8" x14ac:dyDescent="0.25">
      <c r="A2" t="s">
        <v>89</v>
      </c>
      <c r="B2" t="s">
        <v>16</v>
      </c>
      <c r="C2">
        <f>'ODA-GNI time series'!B18</f>
        <v>1011.4</v>
      </c>
      <c r="D2" s="8">
        <f>'ODA-GNI time series'!D18</f>
        <v>2984.3042666666665</v>
      </c>
      <c r="G2" s="1">
        <f>'ODA-GNI time series'!F18/100</f>
        <v>4.3546400985111384E-3</v>
      </c>
    </row>
    <row r="3" spans="1:8" x14ac:dyDescent="0.25">
      <c r="B3" t="s">
        <v>17</v>
      </c>
      <c r="C3">
        <f>'ODA-GNI time series'!B19</f>
        <v>1031</v>
      </c>
      <c r="D3" s="8">
        <f>'ODA-GNI time series'!D19</f>
        <v>2859.1516290726818</v>
      </c>
      <c r="E3" s="8">
        <f>D3-D2</f>
        <v>-125.15263759398476</v>
      </c>
      <c r="F3" s="3">
        <f>E3/D2</f>
        <v>-4.1936956292253212E-2</v>
      </c>
      <c r="G3" s="1">
        <f>'ODA-GNI time series'!F19/100</f>
        <v>4.0233047292366651E-3</v>
      </c>
      <c r="H3" s="1">
        <f>G3-G2</f>
        <v>-3.3133536927447329E-4</v>
      </c>
    </row>
    <row r="4" spans="1:8" x14ac:dyDescent="0.25">
      <c r="B4" t="s">
        <v>18</v>
      </c>
      <c r="C4">
        <f>'ODA-GNI time series'!B20</f>
        <v>975.6</v>
      </c>
      <c r="D4" s="8">
        <f>'ODA-GNI time series'!D20</f>
        <v>2510.4683720930238</v>
      </c>
      <c r="E4" s="8">
        <f t="shared" ref="E4:E7" si="0">D4-D3</f>
        <v>-348.68325697965793</v>
      </c>
      <c r="F4" s="3">
        <f t="shared" ref="F4:F7" si="1">E4/D3</f>
        <v>-0.12195339814585053</v>
      </c>
      <c r="G4" s="1">
        <f>'ODA-GNI time series'!F20/100</f>
        <v>3.469170044804779E-3</v>
      </c>
      <c r="H4" s="1">
        <f>G4-G3</f>
        <v>-5.5413468443188613E-4</v>
      </c>
    </row>
    <row r="5" spans="1:8" x14ac:dyDescent="0.25">
      <c r="B5" t="s">
        <v>19</v>
      </c>
      <c r="C5">
        <f>'ODA-GNI time series'!B21</f>
        <v>1019.6</v>
      </c>
      <c r="D5" s="8">
        <f>'ODA-GNI time series'!D21</f>
        <v>2463.2912663755465</v>
      </c>
      <c r="E5" s="8">
        <f t="shared" si="0"/>
        <v>-47.177105717477389</v>
      </c>
      <c r="F5" s="3">
        <f t="shared" si="1"/>
        <v>-1.8792152987032042E-2</v>
      </c>
      <c r="G5" s="1">
        <f>'ODA-GNI time series'!F21/100</f>
        <v>3.1995882836574974E-3</v>
      </c>
      <c r="H5" s="1">
        <f t="shared" ref="H5:H7" si="2">G5-G4</f>
        <v>-2.6958176114728156E-4</v>
      </c>
    </row>
    <row r="6" spans="1:8" x14ac:dyDescent="0.25">
      <c r="B6" t="s">
        <v>20</v>
      </c>
      <c r="C6">
        <f>'ODA-GNI time series'!B22</f>
        <v>1194.5999999999999</v>
      </c>
      <c r="D6" s="8">
        <f>'ODA-GNI time series'!D22</f>
        <v>2654.2668674698793</v>
      </c>
      <c r="E6" s="8">
        <f t="shared" si="0"/>
        <v>190.97560109433289</v>
      </c>
      <c r="F6" s="3">
        <f t="shared" si="1"/>
        <v>7.7528631591883085E-2</v>
      </c>
      <c r="G6" s="1">
        <f>'ODA-GNI time series'!F22/100</f>
        <v>3.3333054302240894E-3</v>
      </c>
      <c r="H6" s="1">
        <f t="shared" si="2"/>
        <v>1.3371714656659197E-4</v>
      </c>
    </row>
    <row r="7" spans="1:8" x14ac:dyDescent="0.25">
      <c r="B7" t="s">
        <v>21</v>
      </c>
      <c r="C7">
        <f>'ODA-GNI time series'!B23</f>
        <v>1173.8</v>
      </c>
      <c r="D7" s="8">
        <f>'ODA-GNI time series'!D23</f>
        <v>2464.5345351043643</v>
      </c>
      <c r="E7" s="8">
        <f t="shared" si="0"/>
        <v>-189.73233236551505</v>
      </c>
      <c r="F7" s="3">
        <f t="shared" si="1"/>
        <v>-7.1482010603693802E-2</v>
      </c>
      <c r="G7" s="1">
        <f>'ODA-GNI time series'!F23/100</f>
        <v>3.004343474933517E-3</v>
      </c>
      <c r="H7" s="1">
        <f t="shared" si="2"/>
        <v>-3.2896195529057235E-4</v>
      </c>
    </row>
    <row r="8" spans="1:8" x14ac:dyDescent="0.25">
      <c r="D8" s="8"/>
      <c r="E8" s="8"/>
    </row>
    <row r="9" spans="1:8" x14ac:dyDescent="0.25">
      <c r="A9" t="s">
        <v>90</v>
      </c>
      <c r="B9" t="s">
        <v>27</v>
      </c>
      <c r="C9">
        <f>'ODA-GNI time series'!B29</f>
        <v>1556.5</v>
      </c>
      <c r="D9" s="8">
        <f>'ODA-GNI time series'!D29</f>
        <v>2875.2374791318866</v>
      </c>
      <c r="E9" s="8"/>
      <c r="G9" s="3">
        <f>'ODA-GNI time series'!F29/100</f>
        <v>3.0484461052747032E-3</v>
      </c>
    </row>
    <row r="10" spans="1:8" x14ac:dyDescent="0.25">
      <c r="B10" t="s">
        <v>28</v>
      </c>
      <c r="C10">
        <f>'ODA-GNI time series'!B30</f>
        <v>1432</v>
      </c>
      <c r="D10" s="8">
        <f>'ODA-GNI time series'!D30</f>
        <v>2606.0986842105267</v>
      </c>
      <c r="E10" s="8">
        <f>D10-D9</f>
        <v>-269.13879492135993</v>
      </c>
      <c r="F10" s="3">
        <f>E10/D9</f>
        <v>-9.360576191522807E-2</v>
      </c>
      <c r="G10" s="3">
        <f>'ODA-GNI time series'!F30/100</f>
        <v>2.6606418241003609E-3</v>
      </c>
      <c r="H10" s="3">
        <f>G10-G9</f>
        <v>-3.8780428117434233E-4</v>
      </c>
    </row>
    <row r="11" spans="1:8" x14ac:dyDescent="0.25">
      <c r="B11" t="s">
        <v>29</v>
      </c>
      <c r="C11">
        <f>'ODA-GNI time series'!B31</f>
        <v>1443</v>
      </c>
      <c r="D11" s="8">
        <f>'ODA-GNI time series'!D31</f>
        <v>2592.0121753246754</v>
      </c>
      <c r="E11" s="8">
        <f t="shared" ref="E11:E14" si="3">D11-D10</f>
        <v>-14.086508885851345</v>
      </c>
      <c r="F11" s="3">
        <f t="shared" ref="F11:F14" si="4">E11/D10</f>
        <v>-5.4052093158239757E-3</v>
      </c>
      <c r="G11" s="3">
        <f>'ODA-GNI time series'!F31/100</f>
        <v>2.5295686060025978E-3</v>
      </c>
      <c r="H11" s="3">
        <f t="shared" ref="H11:H14" si="5">G11-G10</f>
        <v>-1.3107321809776315E-4</v>
      </c>
    </row>
    <row r="12" spans="1:8" x14ac:dyDescent="0.25">
      <c r="B12" t="s">
        <v>30</v>
      </c>
      <c r="C12">
        <f>'ODA-GNI time series'!B32</f>
        <v>1528.6</v>
      </c>
      <c r="D12" s="8">
        <f>'ODA-GNI time series'!D32</f>
        <v>2732.4651050080774</v>
      </c>
      <c r="E12" s="8">
        <f t="shared" si="3"/>
        <v>140.45292968340209</v>
      </c>
      <c r="F12" s="3">
        <f t="shared" si="4"/>
        <v>5.4186832539013428E-2</v>
      </c>
      <c r="G12" s="3">
        <f>'ODA-GNI time series'!F32/100</f>
        <v>2.5427337631661246E-3</v>
      </c>
      <c r="H12" s="3">
        <f t="shared" si="5"/>
        <v>1.3165157163526862E-5</v>
      </c>
    </row>
    <row r="13" spans="1:8" x14ac:dyDescent="0.25">
      <c r="B13" t="s">
        <v>31</v>
      </c>
      <c r="C13">
        <f>'ODA-GNI time series'!B33</f>
        <v>1748.7</v>
      </c>
      <c r="D13" s="8">
        <f>'ODA-GNI time series'!D33</f>
        <v>3047.1441732283465</v>
      </c>
      <c r="E13" s="8">
        <f t="shared" si="3"/>
        <v>314.67906822026907</v>
      </c>
      <c r="F13" s="3">
        <f t="shared" si="4"/>
        <v>0.11516306928989634</v>
      </c>
      <c r="G13" s="3">
        <f>'ODA-GNI time series'!F33/100</f>
        <v>2.7236451084349362E-3</v>
      </c>
      <c r="H13" s="3">
        <f t="shared" si="5"/>
        <v>1.8091134526881155E-4</v>
      </c>
    </row>
    <row r="14" spans="1:8" x14ac:dyDescent="0.25">
      <c r="B14" t="s">
        <v>32</v>
      </c>
      <c r="C14">
        <f>'ODA-GNI time series'!B34</f>
        <v>1623.1</v>
      </c>
      <c r="D14" s="8">
        <f>'ODA-GNI time series'!D34</f>
        <v>2708.8388386123679</v>
      </c>
      <c r="E14" s="8">
        <f t="shared" si="3"/>
        <v>-338.30533461597861</v>
      </c>
      <c r="F14" s="3">
        <f t="shared" si="4"/>
        <v>-0.11102373743529027</v>
      </c>
      <c r="G14" s="3">
        <f>'ODA-GNI time series'!F34/100</f>
        <v>2.3668250771759088E-3</v>
      </c>
      <c r="H14" s="3">
        <f t="shared" si="5"/>
        <v>-3.5682003125902736E-4</v>
      </c>
    </row>
    <row r="15" spans="1:8" x14ac:dyDescent="0.25">
      <c r="E15" s="8"/>
    </row>
    <row r="16" spans="1:8" x14ac:dyDescent="0.25">
      <c r="A16" t="s">
        <v>91</v>
      </c>
      <c r="B16" t="s">
        <v>5</v>
      </c>
      <c r="C16">
        <f>'ODA-GNI time series'!B46</f>
        <v>5149</v>
      </c>
      <c r="D16" s="8">
        <f>'2014-15 MYEFO '!J3</f>
        <v>5585.4823390624997</v>
      </c>
      <c r="E16" s="8"/>
      <c r="G16" s="3">
        <f>'ODA-GNI time series'!F46/100</f>
        <v>3.4000000000000002E-3</v>
      </c>
    </row>
    <row r="17" spans="1:8" x14ac:dyDescent="0.25">
      <c r="B17" t="s">
        <v>4</v>
      </c>
      <c r="C17">
        <f>'ODA-GNI time series'!B47</f>
        <v>5032</v>
      </c>
      <c r="D17" s="8">
        <f>'2014-15 MYEFO '!J4</f>
        <v>5286.7449999999999</v>
      </c>
      <c r="E17" s="8">
        <f>D17-D16</f>
        <v>-298.73733906249981</v>
      </c>
      <c r="F17" s="13">
        <f>E17/D16*100</f>
        <v>-5.3484609014562148</v>
      </c>
      <c r="G17" s="3">
        <f>'ODA-GNI time series'!F47/100</f>
        <v>3.2548512289780076E-3</v>
      </c>
      <c r="H17" s="3">
        <f>G17-G16</f>
        <v>-1.4514877102199267E-4</v>
      </c>
    </row>
    <row r="18" spans="1:8" x14ac:dyDescent="0.25">
      <c r="B18" t="s">
        <v>45</v>
      </c>
      <c r="C18">
        <f>'ODA-GNI time series'!B48</f>
        <v>5032</v>
      </c>
      <c r="D18" s="8">
        <f>'2014-15 MYEFO '!J5</f>
        <v>5157.7999999999993</v>
      </c>
      <c r="E18" s="8">
        <f t="shared" ref="E18:E21" si="6">D18-D17</f>
        <v>-128.94500000000062</v>
      </c>
      <c r="F18" s="13">
        <f t="shared" ref="F18:F21" si="7">E18/D17*100</f>
        <v>-2.4390243902439144</v>
      </c>
      <c r="G18" s="3">
        <f>'ODA-GNI time series'!F48/100</f>
        <v>3.206749979288678E-3</v>
      </c>
      <c r="H18" s="3">
        <f t="shared" ref="H18:H21" si="8">G18-G17</f>
        <v>-4.8101249689329589E-5</v>
      </c>
    </row>
    <row r="19" spans="1:8" x14ac:dyDescent="0.25">
      <c r="B19" t="s">
        <v>44</v>
      </c>
      <c r="C19">
        <f>'ODA-GNI time series'!B49</f>
        <v>4052</v>
      </c>
      <c r="D19" s="8">
        <f>'2014-15 MYEFO '!J6</f>
        <v>4034</v>
      </c>
      <c r="E19" s="8">
        <f t="shared" si="6"/>
        <v>-1123.7999999999993</v>
      </c>
      <c r="F19" s="13">
        <f t="shared" si="7"/>
        <v>-21.78835937802938</v>
      </c>
      <c r="G19" s="3">
        <f>'ODA-GNI time series'!F49/100</f>
        <v>2.5009432929161786E-3</v>
      </c>
      <c r="H19" s="3">
        <f t="shared" si="8"/>
        <v>-7.0580668637249943E-4</v>
      </c>
    </row>
    <row r="20" spans="1:8" x14ac:dyDescent="0.25">
      <c r="B20" t="s">
        <v>43</v>
      </c>
      <c r="C20">
        <f>'ODA-GNI time series'!B50</f>
        <v>3828</v>
      </c>
      <c r="D20" s="8">
        <f>'2014-15 MYEFO '!J7</f>
        <v>3717.0731707317077</v>
      </c>
      <c r="E20" s="8">
        <f t="shared" si="6"/>
        <v>-316.92682926829229</v>
      </c>
      <c r="F20" s="13">
        <f t="shared" si="7"/>
        <v>-7.8563914047667893</v>
      </c>
      <c r="G20" s="3">
        <f>'ODA-GNI time series'!F50/100</f>
        <v>2.2395144929385131E-3</v>
      </c>
      <c r="H20" s="3">
        <f t="shared" si="8"/>
        <v>-2.6142879997766546E-4</v>
      </c>
    </row>
    <row r="21" spans="1:8" x14ac:dyDescent="0.25">
      <c r="B21" t="s">
        <v>42</v>
      </c>
      <c r="C21">
        <f>'ODA-GNI time series'!B51</f>
        <v>3912</v>
      </c>
      <c r="D21" s="8">
        <f>'2014-15 MYEFO '!J8</f>
        <v>3723.4979179060092</v>
      </c>
      <c r="E21" s="8">
        <f t="shared" si="6"/>
        <v>6.4247471743015012</v>
      </c>
      <c r="F21" s="13">
        <f t="shared" si="7"/>
        <v>0.17284424812753382</v>
      </c>
      <c r="G21" s="3">
        <f>'ODA-GNI time series'!F51/100</f>
        <v>2.1744963840325104E-3</v>
      </c>
      <c r="H21" s="3">
        <f t="shared" si="8"/>
        <v>-6.5018108906002726E-5</v>
      </c>
    </row>
    <row r="23" spans="1:8" x14ac:dyDescent="0.25">
      <c r="B23" t="s">
        <v>95</v>
      </c>
    </row>
    <row r="24" spans="1:8" x14ac:dyDescent="0.25">
      <c r="B24" t="s">
        <v>103</v>
      </c>
      <c r="C24" t="s">
        <v>104</v>
      </c>
    </row>
    <row r="25" spans="1:8" x14ac:dyDescent="0.25">
      <c r="A25" t="s">
        <v>106</v>
      </c>
      <c r="B25" s="8">
        <f>-(E3+E4+E5)</f>
        <v>521.01300029112008</v>
      </c>
      <c r="C25" s="14">
        <f>-'ODA-GNI time series'!H21</f>
        <v>0.17458441021265858</v>
      </c>
    </row>
    <row r="26" spans="1:8" x14ac:dyDescent="0.25">
      <c r="A26" t="s">
        <v>107</v>
      </c>
      <c r="B26" s="8">
        <f>-(E10+E11)</f>
        <v>283.22530380721128</v>
      </c>
      <c r="C26" s="14">
        <f>-'ODA-GNI time series'!H31</f>
        <v>9.8505012494733202E-2</v>
      </c>
    </row>
    <row r="27" spans="1:8" x14ac:dyDescent="0.25">
      <c r="A27" t="s">
        <v>115</v>
      </c>
      <c r="B27" s="8">
        <f>-(SUM(E17:E20))</f>
        <v>1868.409168330792</v>
      </c>
      <c r="C27" s="14">
        <f>-'ODA-GNI time series'!H50</f>
        <v>0.33451169566215055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2014-15 budget </vt:lpstr>
      <vt:lpstr>2014-15 MYEFO </vt:lpstr>
      <vt:lpstr>2015-16 Budget</vt:lpstr>
      <vt:lpstr>ODA-GNI time series</vt:lpstr>
      <vt:lpstr>Historic cuts comparison</vt:lpstr>
    </vt:vector>
  </TitlesOfParts>
  <Company>ANU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Parima Panpruet</dc:creator>
  <cp:lastModifiedBy>Jonathan Pryke</cp:lastModifiedBy>
  <cp:lastPrinted>2014-05-13T04:37:30Z</cp:lastPrinted>
  <dcterms:created xsi:type="dcterms:W3CDTF">2013-08-28T03:04:12Z</dcterms:created>
  <dcterms:modified xsi:type="dcterms:W3CDTF">2015-05-13T05:09:03Z</dcterms:modified>
</cp:coreProperties>
</file>