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ropbox (Devpolicy)\Research\Datasets\Australian aid statistics\The two budget spreadsheets (latest versions)\"/>
    </mc:Choice>
  </mc:AlternateContent>
  <bookViews>
    <workbookView xWindow="75" yWindow="240" windowWidth="18690" windowHeight="10770" tabRatio="714"/>
  </bookViews>
  <sheets>
    <sheet name="2017-18 budget" sheetId="12" r:id="rId1"/>
    <sheet name="ODA-exp time series" sheetId="13" r:id="rId2"/>
    <sheet name="ODA-GNI time series" sheetId="8" r:id="rId3"/>
    <sheet name="Historic cuts comparison" sheetId="9" state="hidden" r:id="rId4"/>
  </sheets>
  <calcPr calcId="152511"/>
</workbook>
</file>

<file path=xl/calcChain.xml><?xml version="1.0" encoding="utf-8"?>
<calcChain xmlns="http://schemas.openxmlformats.org/spreadsheetml/2006/main">
  <c r="C11" i="12" l="1"/>
  <c r="Q11" i="12"/>
  <c r="E11" i="12"/>
  <c r="E10" i="12"/>
  <c r="C10" i="12"/>
  <c r="C29" i="13" l="1"/>
  <c r="C28" i="13"/>
  <c r="B70" i="8"/>
  <c r="B29" i="13" s="1"/>
  <c r="D29" i="13" s="1"/>
  <c r="B69" i="8"/>
  <c r="G70" i="8" l="1"/>
  <c r="H3" i="12" l="1"/>
  <c r="W7" i="12"/>
  <c r="W8" i="12" s="1"/>
  <c r="AA11" i="12"/>
  <c r="AB11" i="12"/>
  <c r="AC11" i="12"/>
  <c r="D11" i="12"/>
  <c r="F11" i="12" s="1"/>
  <c r="AC10" i="12"/>
  <c r="AB10" i="12"/>
  <c r="AA10" i="12"/>
  <c r="Q10" i="12"/>
  <c r="D10" i="12"/>
  <c r="F10" i="12"/>
  <c r="G21" i="8"/>
  <c r="G20" i="8"/>
  <c r="G19" i="8"/>
  <c r="G18" i="8"/>
  <c r="G17" i="8"/>
  <c r="G16" i="8"/>
  <c r="G15" i="8"/>
  <c r="G14" i="8"/>
  <c r="G13" i="8"/>
  <c r="G12" i="8"/>
  <c r="Z3" i="12"/>
  <c r="F62" i="8"/>
  <c r="B28" i="13"/>
  <c r="C21" i="13"/>
  <c r="C22" i="13"/>
  <c r="C23" i="13"/>
  <c r="C24" i="13"/>
  <c r="C25" i="13"/>
  <c r="C26" i="13"/>
  <c r="C27" i="13"/>
  <c r="B68" i="8"/>
  <c r="G69" i="8"/>
  <c r="Z5" i="12"/>
  <c r="F64" i="8"/>
  <c r="Z6" i="12"/>
  <c r="F65" i="8"/>
  <c r="Z7" i="12"/>
  <c r="F66" i="8"/>
  <c r="Z4" i="12"/>
  <c r="F63" i="8"/>
  <c r="C62" i="8"/>
  <c r="B63" i="8"/>
  <c r="B64" i="8"/>
  <c r="B65" i="8"/>
  <c r="B66" i="8"/>
  <c r="B67" i="8"/>
  <c r="B62" i="8"/>
  <c r="AC9" i="12"/>
  <c r="AC8" i="12"/>
  <c r="AC7" i="12"/>
  <c r="AC6" i="12"/>
  <c r="AC5" i="12"/>
  <c r="AB9" i="12"/>
  <c r="AB8" i="12"/>
  <c r="AB7" i="12"/>
  <c r="AB6" i="12"/>
  <c r="AB5" i="12"/>
  <c r="B27" i="13"/>
  <c r="B5" i="13"/>
  <c r="D5" i="13"/>
  <c r="B6" i="13"/>
  <c r="B7" i="13"/>
  <c r="D7" i="13" s="1"/>
  <c r="B8" i="13"/>
  <c r="B9" i="13"/>
  <c r="B10" i="13"/>
  <c r="B11" i="13"/>
  <c r="D11" i="13"/>
  <c r="B12" i="13"/>
  <c r="B13" i="13"/>
  <c r="D13" i="13" s="1"/>
  <c r="B14" i="13"/>
  <c r="B15" i="13"/>
  <c r="D15" i="13"/>
  <c r="B16" i="13"/>
  <c r="D16" i="13"/>
  <c r="B17" i="13"/>
  <c r="B18" i="13"/>
  <c r="D18" i="13" s="1"/>
  <c r="B19" i="13"/>
  <c r="D19" i="13" s="1"/>
  <c r="B20" i="13"/>
  <c r="D20" i="13" s="1"/>
  <c r="B4" i="13"/>
  <c r="D4" i="13" s="1"/>
  <c r="D17" i="13"/>
  <c r="D14" i="13"/>
  <c r="D12" i="13"/>
  <c r="D10" i="13"/>
  <c r="D9" i="13"/>
  <c r="D8" i="13"/>
  <c r="D6" i="13"/>
  <c r="D27" i="13"/>
  <c r="AA9" i="12"/>
  <c r="Q9" i="12"/>
  <c r="E9" i="12"/>
  <c r="D9" i="12"/>
  <c r="F9" i="12" s="1"/>
  <c r="C9" i="12"/>
  <c r="AA8" i="12"/>
  <c r="Q8" i="12"/>
  <c r="E8" i="12"/>
  <c r="D8" i="12"/>
  <c r="F8" i="12" s="1"/>
  <c r="C8" i="12"/>
  <c r="AA7" i="12"/>
  <c r="Q7" i="12"/>
  <c r="E7" i="12"/>
  <c r="D7" i="12"/>
  <c r="F7" i="12" s="1"/>
  <c r="C7" i="12"/>
  <c r="AA6" i="12"/>
  <c r="Q6" i="12"/>
  <c r="E6" i="12"/>
  <c r="D6" i="12"/>
  <c r="F6" i="12" s="1"/>
  <c r="C6" i="12"/>
  <c r="AA5" i="12"/>
  <c r="Q5" i="12"/>
  <c r="E5" i="12"/>
  <c r="D5" i="12"/>
  <c r="F5" i="12" s="1"/>
  <c r="C5" i="12"/>
  <c r="AA4" i="12"/>
  <c r="Q4" i="12"/>
  <c r="E4" i="12"/>
  <c r="D4" i="12"/>
  <c r="F4" i="12" s="1"/>
  <c r="C4" i="12"/>
  <c r="AA3" i="12"/>
  <c r="B21" i="13"/>
  <c r="D21" i="13" s="1"/>
  <c r="B22" i="13"/>
  <c r="D22" i="13" s="1"/>
  <c r="B25" i="13"/>
  <c r="D25" i="13" s="1"/>
  <c r="B23" i="13"/>
  <c r="D23" i="13"/>
  <c r="B26" i="13"/>
  <c r="D26" i="13"/>
  <c r="G68" i="8"/>
  <c r="B24" i="13"/>
  <c r="D24" i="13" s="1"/>
  <c r="G2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16" i="9"/>
  <c r="D16" i="9"/>
  <c r="G10" i="9"/>
  <c r="G11" i="9"/>
  <c r="G12" i="9"/>
  <c r="G13" i="9"/>
  <c r="G14" i="9"/>
  <c r="G9" i="9"/>
  <c r="C10" i="9"/>
  <c r="C11" i="9"/>
  <c r="C12" i="9"/>
  <c r="C13" i="9"/>
  <c r="C14" i="9"/>
  <c r="C9" i="9"/>
  <c r="G3" i="9"/>
  <c r="G4" i="9"/>
  <c r="G5" i="9"/>
  <c r="G6" i="9"/>
  <c r="G7" i="9"/>
  <c r="G2" i="9"/>
  <c r="C3" i="9"/>
  <c r="C4" i="9"/>
  <c r="C5" i="9"/>
  <c r="C6" i="9"/>
  <c r="C7" i="9"/>
  <c r="C2" i="9"/>
  <c r="H4" i="9"/>
  <c r="H3" i="9"/>
  <c r="C16" i="9"/>
  <c r="G62" i="8"/>
  <c r="C19" i="9"/>
  <c r="G65" i="8"/>
  <c r="C21" i="9"/>
  <c r="G67" i="8"/>
  <c r="C20" i="9"/>
  <c r="G66" i="8"/>
  <c r="C17" i="9"/>
  <c r="G63" i="8"/>
  <c r="C18" i="9"/>
  <c r="G64" i="8"/>
  <c r="H10" i="9"/>
  <c r="H14" i="9"/>
  <c r="H13" i="9"/>
  <c r="H12" i="9"/>
  <c r="H11" i="9"/>
  <c r="H6" i="9"/>
  <c r="H7" i="9"/>
  <c r="H5" i="9"/>
  <c r="G17" i="9"/>
  <c r="H17" i="9"/>
  <c r="G18" i="9"/>
  <c r="D18" i="9"/>
  <c r="D17" i="9"/>
  <c r="E17" i="9"/>
  <c r="H18" i="9"/>
  <c r="F17" i="9"/>
  <c r="E18" i="9"/>
  <c r="F18" i="9"/>
  <c r="D19" i="9"/>
  <c r="E19" i="9"/>
  <c r="G20" i="9"/>
  <c r="F19" i="9"/>
  <c r="D20" i="9"/>
  <c r="E20" i="9"/>
  <c r="F20" i="9"/>
  <c r="B27" i="9"/>
  <c r="C27" i="9"/>
  <c r="D21" i="9"/>
  <c r="E21" i="9"/>
  <c r="F21" i="9"/>
  <c r="G19" i="9"/>
  <c r="H20" i="9"/>
  <c r="H19" i="9"/>
  <c r="J8" i="12"/>
  <c r="D67" i="8" s="1"/>
  <c r="I67" i="8" s="1"/>
  <c r="R8" i="12"/>
  <c r="T8" i="12"/>
  <c r="D28" i="13" l="1"/>
  <c r="W9" i="12"/>
  <c r="W10" i="12" s="1"/>
  <c r="W11" i="12" s="1"/>
  <c r="Z8" i="12"/>
  <c r="F67" i="8" s="1"/>
  <c r="G21" i="9" s="1"/>
  <c r="H21" i="9" s="1"/>
  <c r="H4" i="12"/>
  <c r="Z10" i="12" l="1"/>
  <c r="F69" i="8" s="1"/>
  <c r="Z11" i="12"/>
  <c r="F70" i="8" s="1"/>
  <c r="Z9" i="12"/>
  <c r="F68" i="8" s="1"/>
  <c r="C63" i="8"/>
  <c r="H5" i="12"/>
  <c r="C64" i="8" l="1"/>
  <c r="H6" i="12"/>
  <c r="C65" i="8" l="1"/>
  <c r="H7" i="12"/>
  <c r="C66" i="8" l="1"/>
  <c r="H8" i="12"/>
  <c r="I7" i="12" s="1"/>
  <c r="J7" i="12" l="1"/>
  <c r="R7" i="12"/>
  <c r="H9" i="12"/>
  <c r="C67" i="8"/>
  <c r="G12" i="12"/>
  <c r="I3" i="12"/>
  <c r="I4" i="12"/>
  <c r="I5" i="12"/>
  <c r="I6" i="12"/>
  <c r="J3" i="12" l="1"/>
  <c r="L7" i="12" s="1"/>
  <c r="M7" i="12" s="1"/>
  <c r="R3" i="12"/>
  <c r="T7" i="12"/>
  <c r="S7" i="12"/>
  <c r="J5" i="12"/>
  <c r="R5" i="12"/>
  <c r="R6" i="12"/>
  <c r="J6" i="12"/>
  <c r="K7" i="12" s="1"/>
  <c r="R4" i="12"/>
  <c r="J4" i="12"/>
  <c r="D60" i="8"/>
  <c r="D56" i="8"/>
  <c r="D52" i="8"/>
  <c r="D48" i="8"/>
  <c r="D44" i="8"/>
  <c r="D40" i="8"/>
  <c r="D36" i="8"/>
  <c r="D32" i="8"/>
  <c r="D28" i="8"/>
  <c r="D24" i="8"/>
  <c r="D21" i="8"/>
  <c r="D59" i="8"/>
  <c r="D55" i="8"/>
  <c r="D51" i="8"/>
  <c r="D47" i="8"/>
  <c r="D43" i="8"/>
  <c r="D39" i="8"/>
  <c r="D35" i="8"/>
  <c r="D31" i="8"/>
  <c r="D27" i="8"/>
  <c r="D23" i="8"/>
  <c r="D58" i="8"/>
  <c r="D50" i="8"/>
  <c r="D42" i="8"/>
  <c r="D34" i="8"/>
  <c r="D26" i="8"/>
  <c r="D61" i="8"/>
  <c r="D53" i="8"/>
  <c r="D45" i="8"/>
  <c r="D37" i="8"/>
  <c r="D29" i="8"/>
  <c r="D54" i="8"/>
  <c r="D38" i="8"/>
  <c r="D22" i="8"/>
  <c r="D49" i="8"/>
  <c r="D33" i="8"/>
  <c r="D46" i="8"/>
  <c r="D30" i="8"/>
  <c r="D57" i="8"/>
  <c r="D41" i="8"/>
  <c r="D25" i="8"/>
  <c r="H10" i="12"/>
  <c r="C69" i="8" s="1"/>
  <c r="I9" i="12"/>
  <c r="C68" i="8"/>
  <c r="D66" i="8"/>
  <c r="K8" i="12"/>
  <c r="N8" i="12"/>
  <c r="N7" i="12" l="1"/>
  <c r="J9" i="12"/>
  <c r="R9" i="12"/>
  <c r="E25" i="8"/>
  <c r="I25" i="8"/>
  <c r="H25" i="8"/>
  <c r="E57" i="8"/>
  <c r="H57" i="8"/>
  <c r="I57" i="8"/>
  <c r="I46" i="8"/>
  <c r="H46" i="8"/>
  <c r="E46" i="8"/>
  <c r="D10" i="9"/>
  <c r="I49" i="8"/>
  <c r="D13" i="9"/>
  <c r="H49" i="8"/>
  <c r="E49" i="8"/>
  <c r="I38" i="8"/>
  <c r="D6" i="9"/>
  <c r="E38" i="8"/>
  <c r="H38" i="8"/>
  <c r="E29" i="8"/>
  <c r="I29" i="8"/>
  <c r="H29" i="8"/>
  <c r="E45" i="8"/>
  <c r="D9" i="9"/>
  <c r="H45" i="8"/>
  <c r="I45" i="8"/>
  <c r="E61" i="8"/>
  <c r="I61" i="8"/>
  <c r="H61" i="8"/>
  <c r="I34" i="8"/>
  <c r="H34" i="8"/>
  <c r="E34" i="8"/>
  <c r="D2" i="9"/>
  <c r="I50" i="8"/>
  <c r="H50" i="8"/>
  <c r="E50" i="8"/>
  <c r="D14" i="9"/>
  <c r="E14" i="9" s="1"/>
  <c r="F14" i="9" s="1"/>
  <c r="E23" i="8"/>
  <c r="H23" i="8"/>
  <c r="I23" i="8"/>
  <c r="E31" i="8"/>
  <c r="I31" i="8"/>
  <c r="H31" i="8"/>
  <c r="E39" i="8"/>
  <c r="H39" i="8"/>
  <c r="I39" i="8"/>
  <c r="D7" i="9"/>
  <c r="E7" i="9" s="1"/>
  <c r="F7" i="9" s="1"/>
  <c r="H47" i="8"/>
  <c r="E47" i="8"/>
  <c r="D11" i="9"/>
  <c r="E11" i="9" s="1"/>
  <c r="F11" i="9" s="1"/>
  <c r="I47" i="8"/>
  <c r="E55" i="8"/>
  <c r="H55" i="8"/>
  <c r="I55" i="8"/>
  <c r="I21" i="8"/>
  <c r="I20" i="8" s="1"/>
  <c r="H28" i="8"/>
  <c r="I28" i="8"/>
  <c r="E28" i="8"/>
  <c r="E36" i="8"/>
  <c r="H36" i="8"/>
  <c r="D4" i="9"/>
  <c r="I36" i="8"/>
  <c r="I44" i="8"/>
  <c r="H44" i="8"/>
  <c r="E44" i="8"/>
  <c r="H52" i="8"/>
  <c r="I52" i="8"/>
  <c r="E52" i="8"/>
  <c r="I60" i="8"/>
  <c r="H60" i="8"/>
  <c r="E60" i="8"/>
  <c r="S4" i="12"/>
  <c r="T4" i="12"/>
  <c r="S6" i="12"/>
  <c r="T6" i="12"/>
  <c r="U7" i="12" s="1"/>
  <c r="K5" i="12"/>
  <c r="N5" i="12"/>
  <c r="D64" i="8"/>
  <c r="L5" i="12"/>
  <c r="M5" i="12" s="1"/>
  <c r="U8" i="12"/>
  <c r="I66" i="8"/>
  <c r="H67" i="8"/>
  <c r="E67" i="8"/>
  <c r="I10" i="12"/>
  <c r="H11" i="12"/>
  <c r="C70" i="8" s="1"/>
  <c r="I41" i="8"/>
  <c r="H41" i="8"/>
  <c r="E41" i="8"/>
  <c r="I30" i="8"/>
  <c r="H30" i="8"/>
  <c r="E30" i="8"/>
  <c r="I33" i="8"/>
  <c r="H33" i="8"/>
  <c r="E33" i="8"/>
  <c r="I22" i="8"/>
  <c r="H22" i="8"/>
  <c r="E22" i="8"/>
  <c r="I54" i="8"/>
  <c r="H54" i="8"/>
  <c r="E54" i="8"/>
  <c r="I37" i="8"/>
  <c r="E37" i="8"/>
  <c r="H37" i="8"/>
  <c r="D5" i="9"/>
  <c r="E5" i="9" s="1"/>
  <c r="F5" i="9" s="1"/>
  <c r="E53" i="8"/>
  <c r="H53" i="8"/>
  <c r="I53" i="8"/>
  <c r="I26" i="8"/>
  <c r="H26" i="8"/>
  <c r="E26" i="8"/>
  <c r="E42" i="8"/>
  <c r="I42" i="8"/>
  <c r="H42" i="8"/>
  <c r="E58" i="8"/>
  <c r="H58" i="8"/>
  <c r="I58" i="8"/>
  <c r="I27" i="8"/>
  <c r="H27" i="8"/>
  <c r="E27" i="8"/>
  <c r="I35" i="8"/>
  <c r="D3" i="9"/>
  <c r="E3" i="9" s="1"/>
  <c r="E35" i="8"/>
  <c r="H35" i="8"/>
  <c r="I43" i="8"/>
  <c r="E43" i="8"/>
  <c r="H43" i="8"/>
  <c r="I51" i="8"/>
  <c r="H51" i="8"/>
  <c r="E51" i="8"/>
  <c r="E59" i="8"/>
  <c r="I59" i="8"/>
  <c r="H59" i="8"/>
  <c r="I24" i="8"/>
  <c r="H24" i="8"/>
  <c r="E24" i="8"/>
  <c r="I32" i="8"/>
  <c r="H32" i="8"/>
  <c r="E32" i="8"/>
  <c r="E40" i="8"/>
  <c r="I40" i="8"/>
  <c r="H40" i="8"/>
  <c r="D12" i="9"/>
  <c r="E12" i="9" s="1"/>
  <c r="F12" i="9" s="1"/>
  <c r="H48" i="8"/>
  <c r="E48" i="8"/>
  <c r="I48" i="8"/>
  <c r="I56" i="8"/>
  <c r="H56" i="8"/>
  <c r="E56" i="8"/>
  <c r="D63" i="8"/>
  <c r="K4" i="12"/>
  <c r="L4" i="12"/>
  <c r="M4" i="12" s="1"/>
  <c r="N4" i="12"/>
  <c r="N6" i="12"/>
  <c r="L6" i="12"/>
  <c r="M6" i="12" s="1"/>
  <c r="D65" i="8"/>
  <c r="K6" i="12"/>
  <c r="T5" i="12"/>
  <c r="S5" i="12"/>
  <c r="S8" i="12"/>
  <c r="T3" i="12"/>
  <c r="V8" i="12" s="1"/>
  <c r="L8" i="12"/>
  <c r="M8" i="12" s="1"/>
  <c r="D62" i="8"/>
  <c r="E65" i="8" l="1"/>
  <c r="I65" i="8"/>
  <c r="H65" i="8"/>
  <c r="H63" i="8"/>
  <c r="I63" i="8"/>
  <c r="E63" i="8"/>
  <c r="F3" i="9"/>
  <c r="I11" i="12"/>
  <c r="E66" i="8"/>
  <c r="U6" i="12"/>
  <c r="V6" i="12"/>
  <c r="U4" i="12"/>
  <c r="V4" i="12"/>
  <c r="E4" i="9"/>
  <c r="F4" i="9" s="1"/>
  <c r="D20" i="8"/>
  <c r="I19" i="8"/>
  <c r="E6" i="9"/>
  <c r="F6" i="9" s="1"/>
  <c r="E13" i="9"/>
  <c r="F13" i="9" s="1"/>
  <c r="E10" i="9"/>
  <c r="T9" i="12"/>
  <c r="S9" i="12"/>
  <c r="U5" i="12"/>
  <c r="V5" i="12"/>
  <c r="I62" i="8"/>
  <c r="E62" i="8"/>
  <c r="H62" i="8"/>
  <c r="R10" i="12"/>
  <c r="J10" i="12"/>
  <c r="H66" i="8"/>
  <c r="V7" i="12"/>
  <c r="H64" i="8"/>
  <c r="I64" i="8"/>
  <c r="E64" i="8"/>
  <c r="D68" i="8"/>
  <c r="N9" i="12"/>
  <c r="L9" i="12"/>
  <c r="M9" i="12" s="1"/>
  <c r="K9" i="12"/>
  <c r="N10" i="12" l="1"/>
  <c r="K10" i="12"/>
  <c r="D69" i="8"/>
  <c r="E68" i="8"/>
  <c r="I68" i="8"/>
  <c r="H68" i="8"/>
  <c r="L10" i="12"/>
  <c r="M10" i="12" s="1"/>
  <c r="U9" i="12"/>
  <c r="V9" i="12"/>
  <c r="D19" i="8"/>
  <c r="E20" i="8" s="1"/>
  <c r="I18" i="8"/>
  <c r="R11" i="12"/>
  <c r="S11" i="12" s="1"/>
  <c r="J11" i="12"/>
  <c r="T10" i="12"/>
  <c r="U10" i="12" s="1"/>
  <c r="S10" i="12"/>
  <c r="F10" i="9"/>
  <c r="B26" i="9"/>
  <c r="C26" i="9" s="1"/>
  <c r="H20" i="8"/>
  <c r="H21" i="8"/>
  <c r="E21" i="8"/>
  <c r="B25" i="9"/>
  <c r="C25" i="9" s="1"/>
  <c r="J13" i="12" l="1"/>
  <c r="N11" i="12"/>
  <c r="K11" i="12"/>
  <c r="D70" i="8"/>
  <c r="L11" i="12"/>
  <c r="M11" i="12" s="1"/>
  <c r="I17" i="8"/>
  <c r="D18" i="8"/>
  <c r="H19" i="8" s="1"/>
  <c r="V10" i="12"/>
  <c r="T11" i="12"/>
  <c r="U11" i="12" s="1"/>
  <c r="E19" i="8"/>
  <c r="H70" i="8" l="1"/>
  <c r="E70" i="8"/>
  <c r="I70" i="8"/>
  <c r="V11" i="12"/>
  <c r="I16" i="8"/>
  <c r="D17" i="8"/>
  <c r="I69" i="8"/>
  <c r="H69" i="8"/>
  <c r="E69" i="8"/>
  <c r="H18" i="8" l="1"/>
  <c r="D16" i="8"/>
  <c r="I15" i="8"/>
  <c r="E18" i="8"/>
  <c r="E17" i="8" l="1"/>
  <c r="I14" i="8"/>
  <c r="D15" i="8"/>
  <c r="H16" i="8" s="1"/>
  <c r="H17" i="8"/>
  <c r="D14" i="8" l="1"/>
  <c r="E15" i="8" s="1"/>
  <c r="I13" i="8"/>
  <c r="H15" i="8"/>
  <c r="E16" i="8"/>
  <c r="D13" i="8" l="1"/>
  <c r="H14" i="8" s="1"/>
  <c r="I12" i="8"/>
  <c r="E14" i="8" l="1"/>
  <c r="I11" i="8"/>
  <c r="D11" i="8" s="1"/>
  <c r="D12" i="8"/>
  <c r="E12" i="8" l="1"/>
  <c r="H12" i="8"/>
  <c r="E13" i="8"/>
  <c r="H13" i="8"/>
</calcChain>
</file>

<file path=xl/sharedStrings.xml><?xml version="1.0" encoding="utf-8"?>
<sst xmlns="http://schemas.openxmlformats.org/spreadsheetml/2006/main" count="239" uniqueCount="186">
  <si>
    <t>Year</t>
  </si>
  <si>
    <t>2009-10</t>
  </si>
  <si>
    <t>2010-11</t>
  </si>
  <si>
    <t>2011-12</t>
  </si>
  <si>
    <t>2013-14</t>
  </si>
  <si>
    <t>2012-13</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</si>
  <si>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</si>
  <si>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</si>
  <si>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</si>
  <si>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</si>
  <si>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</si>
  <si>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</si>
  <si>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</si>
  <si>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</si>
  <si>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</si>
  <si>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</si>
  <si>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</si>
  <si>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</si>
  <si>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</si>
  <si>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</si>
  <si>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</si>
  <si>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</si>
  <si>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</si>
  <si>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</si>
  <si>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</si>
  <si>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</si>
  <si>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</si>
  <si>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</si>
  <si>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</si>
  <si>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</si>
  <si>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</si>
  <si>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</si>
  <si>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</si>
  <si>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</si>
  <si>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</si>
  <si>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</si>
  <si>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</si>
  <si>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2006-07</t>
  </si>
  <si>
    <t>2007-08</t>
  </si>
  <si>
    <t>2008-09</t>
  </si>
  <si>
    <t>Unit</t>
  </si>
  <si>
    <t>2005-06</t>
  </si>
  <si>
    <t>2017-18</t>
  </si>
  <si>
    <t>2016-17</t>
  </si>
  <si>
    <t>2015-16</t>
  </si>
  <si>
    <t>2014-15</t>
  </si>
  <si>
    <t>ODA</t>
  </si>
  <si>
    <t>% real cuts cumulative</t>
  </si>
  <si>
    <t>% real cuts annual</t>
  </si>
  <si>
    <t>Total exp ($b)</t>
  </si>
  <si>
    <t>Real exp ($b)</t>
  </si>
  <si>
    <t>% nominal exp growth</t>
  </si>
  <si>
    <t>% real non-aid growth</t>
  </si>
  <si>
    <t>CPI (%)</t>
  </si>
  <si>
    <t>Sources</t>
  </si>
  <si>
    <t>% real exp growth</t>
  </si>
  <si>
    <t>Total Australian ODA</t>
  </si>
  <si>
    <t>Real Change Over Previous Year</t>
  </si>
  <si>
    <t>ODA/GNI Ratio</t>
  </si>
  <si>
    <t>$ million</t>
  </si>
  <si>
    <t>%</t>
  </si>
  <si>
    <t>Series Type</t>
  </si>
  <si>
    <t>Data Type</t>
  </si>
  <si>
    <t>Current Prices</t>
  </si>
  <si>
    <t>Percentage change</t>
  </si>
  <si>
    <t>Ratio</t>
  </si>
  <si>
    <t>1971-72</t>
  </si>
  <si>
    <t>1972-73</t>
  </si>
  <si>
    <t>1973-74</t>
  </si>
  <si>
    <t>Hawke-Keating</t>
  </si>
  <si>
    <t>Howard-Costello</t>
  </si>
  <si>
    <t>Abbott-Hockey</t>
  </si>
  <si>
    <t>ODA/GNI ratio change</t>
  </si>
  <si>
    <t>GNI ($b)</t>
  </si>
  <si>
    <t>Cumulative cuts</t>
  </si>
  <si>
    <t>1999-00</t>
  </si>
  <si>
    <t>Constant Prices 2011-12</t>
  </si>
  <si>
    <t>Total Australian ODA Constant Prices</t>
  </si>
  <si>
    <t>Aid/GNI (RHS)</t>
  </si>
  <si>
    <t>% cuts (RHS)</t>
  </si>
  <si>
    <t>Hawke-Keating (84/5-87/8)</t>
  </si>
  <si>
    <t>Howard-Costello (95/6-97/8)</t>
  </si>
  <si>
    <t>Year-to-year change</t>
  </si>
  <si>
    <t>Abbott-Hockey (12/3-16/17)</t>
  </si>
  <si>
    <t>2018-19</t>
  </si>
  <si>
    <t>2015-16 $A m (LHS)</t>
  </si>
  <si>
    <t>http://www.finance.gov.au/sites/default/files/FOI15-49_Document.pdf</t>
  </si>
  <si>
    <t>cumulative real cuts</t>
  </si>
  <si>
    <t>Real year on year change</t>
  </si>
  <si>
    <t>http://dfat.gov.au/aid/aid-budgets-statistics/Pages/default.aspx</t>
  </si>
  <si>
    <t>Nominal change (%)</t>
  </si>
  <si>
    <t>Cumulative nominal change (%)</t>
  </si>
  <si>
    <t>Real non-aid ($M)</t>
  </si>
  <si>
    <t>Real non-aid increases ($M)</t>
  </si>
  <si>
    <t>Real GDP growth forecast (%)</t>
  </si>
  <si>
    <t>Nominal GDP growth forecast (%)</t>
  </si>
  <si>
    <t>Nominal year on year change ($M)</t>
  </si>
  <si>
    <t>Cumulative nominal cuts ($M)</t>
  </si>
  <si>
    <t>ODA ($M)</t>
  </si>
  <si>
    <t>ODA/GNI</t>
  </si>
  <si>
    <t>ODA/govt. exp.</t>
  </si>
  <si>
    <t>Total Australian ODA ($ M)</t>
  </si>
  <si>
    <t>Total Australian ODA Constant Prices (2015-16 $M)</t>
  </si>
  <si>
    <t>Year-on-year cut ($ M)</t>
  </si>
  <si>
    <t>$M cuts (LHS)</t>
  </si>
  <si>
    <t>Series Titles for chart 2</t>
  </si>
  <si>
    <t>http://dfat.gov.au/about-us/publications/aid/statistical-summary-time-series-data/Pages/australian-aid-data.aspx</t>
  </si>
  <si>
    <t>http://dfat.gov.au/about-us/publications/Documents/2013-14-std-time-series-table-5.xlsx</t>
  </si>
  <si>
    <t>Data sources (appear to be)</t>
  </si>
  <si>
    <t>Aid data</t>
  </si>
  <si>
    <t>Total Federal Expenditure</t>
  </si>
  <si>
    <t>all figures are in nominal (i.e. non-inflation adjusted) dollars</t>
  </si>
  <si>
    <t>ODA (AU M)</t>
  </si>
  <si>
    <t>Total Federal Expenditure (AU M)</t>
  </si>
  <si>
    <t>ODA/Total Expenditure</t>
  </si>
  <si>
    <t>1995-1996</t>
  </si>
  <si>
    <t>1996-1997</t>
  </si>
  <si>
    <t>1997-1998</t>
  </si>
  <si>
    <t>1998-1999</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</si>
  <si>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</si>
  <si>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</si>
  <si>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</si>
  <si>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</si>
  <si>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</si>
  <si>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</si>
  <si>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</si>
  <si>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</si>
  <si>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</si>
  <si>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</si>
  <si>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</si>
  <si>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</si>
  <si>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</si>
  <si>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</si>
  <si>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</si>
  <si>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</si>
  <si>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</si>
  <si>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</si>
  <si>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</si>
  <si>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t>
  </si>
  <si>
    <t>Note: yellow means updated from another sheet</t>
  </si>
  <si>
    <t>ODA from ODA-GNI time series</t>
  </si>
  <si>
    <t>Defence ($b)</t>
  </si>
  <si>
    <t>defence/govt exp</t>
  </si>
  <si>
    <t>(non-ODA non-defence)/govt exp</t>
  </si>
  <si>
    <t>Index</t>
  </si>
  <si>
    <t>Deflator</t>
  </si>
  <si>
    <t>ODA current/ODA constant</t>
  </si>
  <si>
    <t>CPI Index 2011-12 base</t>
  </si>
  <si>
    <t>Total federal expenditure prior to 2012-13 from various budget documents</t>
  </si>
  <si>
    <t>2019-2020</t>
  </si>
  <si>
    <t>Aid projections from lock up</t>
  </si>
  <si>
    <t>2015-16 and 16-17 from 2016-17 budget</t>
  </si>
  <si>
    <t>Earlier years from statistical summaries</t>
  </si>
  <si>
    <t>CPI and GNI</t>
  </si>
  <si>
    <t xml:space="preserve">Historical CPI and GNI from ABS </t>
  </si>
  <si>
    <t>Revised CPI and growth projections as per budget</t>
  </si>
  <si>
    <t>Total expenditure and defence from budget documents</t>
  </si>
  <si>
    <t>1961-62</t>
  </si>
  <si>
    <t>1962-63</t>
  </si>
  <si>
    <t>1963-64</t>
  </si>
  <si>
    <t>1964-65</t>
  </si>
  <si>
    <t>1965-66</t>
  </si>
  <si>
    <t>1966-67</t>
  </si>
  <si>
    <t>1967-68</t>
  </si>
  <si>
    <t>1968-69</t>
  </si>
  <si>
    <t>1969-70</t>
  </si>
  <si>
    <t>1970-71</t>
  </si>
  <si>
    <t>nd</t>
  </si>
  <si>
    <t>ODA data from 61-62 to 70-71 calculated by Robin Davies for more info see: http://devpolicy.org/measuring-australias-foreign-aid-generosity-menzies-turnbull-20170203/</t>
  </si>
  <si>
    <t>na</t>
  </si>
  <si>
    <t>Inflation data to take the index deflator backwards taken from RBS. More info on them at devpolicy's dropbox on \Research\Datasets\Australian aid statistics\The two budget spreadsheets (latest versions)\workings file name RBA ABS inflation time series.xls</t>
  </si>
  <si>
    <t>old inflation necessary for pre 1970 data DON'T DELETE</t>
  </si>
  <si>
    <t>&lt;-important note: these formulas are live, with a different formula to other inflation indext numbers - they link to inflation numbers in column w; if they didn't they wouldn't rebase with each change in base year for real oda</t>
  </si>
  <si>
    <t>For years pre 1971 inflation data to take the index deflator backwards taken from RBS. More info on them at devpolicy's dropbox on \Research\Datasets\Australian aid statistics\The two budget spreadsheets (latest versions)\workings file name RBA ABS inflation time series.xls</t>
  </si>
  <si>
    <t>Ammendments made on 13/4/17</t>
  </si>
  <si>
    <t>changed from 5,032 to 5048.9 on basis of greenbook data here: http://dfat.gov.au/about-us/publications/aid/statistical-summary-time-series-data/Pages/statistical-summary-and-time-series-data-2014-15.aspx</t>
  </si>
  <si>
    <t>changed from 5,032 to 5027.9 on basis of data here: http://dfat.gov.au/about-us/corporate/portfolio-budget-statements/Documents/2015-16-development-assistance-budget-summary-feb16.pdf</t>
  </si>
  <si>
    <t>2017-18 from 2017-18 budget</t>
  </si>
  <si>
    <t>2020-21</t>
  </si>
  <si>
    <r>
      <t xml:space="preserve">Inflation factor to convert from 2011-12 prices to </t>
    </r>
    <r>
      <rPr>
        <b/>
        <sz val="11"/>
        <color rgb="FFFF0000"/>
        <rFont val="Calibri"/>
        <family val="2"/>
        <scheme val="minor"/>
      </rPr>
      <t>2017-18</t>
    </r>
    <r>
      <rPr>
        <b/>
        <sz val="11"/>
        <color theme="1"/>
        <rFont val="Calibri"/>
        <family val="2"/>
        <scheme val="minor"/>
      </rPr>
      <t xml:space="preserve"> prices</t>
    </r>
  </si>
  <si>
    <r>
      <t xml:space="preserve">CPI Index </t>
    </r>
    <r>
      <rPr>
        <sz val="11"/>
        <color rgb="FFFF0000"/>
        <rFont val="Calibri"/>
        <family val="2"/>
        <scheme val="minor"/>
      </rPr>
      <t>2017-18</t>
    </r>
    <r>
      <rPr>
        <sz val="11"/>
        <color theme="1"/>
        <rFont val="Calibri"/>
        <family val="2"/>
        <scheme val="minor"/>
      </rPr>
      <t xml:space="preserve"> base</t>
    </r>
  </si>
  <si>
    <r>
      <t>Real aid (</t>
    </r>
    <r>
      <rPr>
        <sz val="11"/>
        <color rgb="FFFF0000"/>
        <rFont val="Calibri"/>
        <family val="2"/>
        <scheme val="minor"/>
      </rPr>
      <t>2017-18</t>
    </r>
    <r>
      <rPr>
        <sz val="11"/>
        <color theme="1"/>
        <rFont val="Calibri"/>
        <family val="2"/>
        <scheme val="minor"/>
      </rPr>
      <t>) ($M)</t>
    </r>
  </si>
  <si>
    <r>
      <t xml:space="preserve">as per </t>
    </r>
    <r>
      <rPr>
        <sz val="11"/>
        <color rgb="FFFF0000"/>
        <rFont val="Calibri"/>
        <family val="2"/>
        <scheme val="minor"/>
      </rPr>
      <t>2017-18</t>
    </r>
    <r>
      <rPr>
        <sz val="11"/>
        <color theme="1"/>
        <rFont val="Calibri"/>
        <family val="2"/>
        <scheme val="minor"/>
      </rPr>
      <t xml:space="preserve"> budget and budget night</t>
    </r>
  </si>
  <si>
    <r>
      <t xml:space="preserve">Constant Prices </t>
    </r>
    <r>
      <rPr>
        <sz val="11"/>
        <color rgb="FFFF0000"/>
        <rFont val="Calibri"/>
        <family val="2"/>
        <scheme val="minor"/>
      </rPr>
      <t>2017-18</t>
    </r>
  </si>
  <si>
    <r>
      <t>Constant (</t>
    </r>
    <r>
      <rPr>
        <sz val="11"/>
        <color rgb="FFFF0000"/>
        <rFont val="Calibri"/>
        <family val="2"/>
        <scheme val="minor"/>
      </rPr>
      <t>2017-18</t>
    </r>
    <r>
      <rPr>
        <sz val="11"/>
        <color theme="1"/>
        <rFont val="Calibri"/>
        <family val="2"/>
        <scheme val="minor"/>
      </rPr>
      <t>) Prices</t>
    </r>
  </si>
  <si>
    <t>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</si>
</sst>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0.000"/>
    <numFmt numFmtId="167" formatCode="#,##0.000000"/>
    <numFmt numFmtId="168" formatCode="0.0_ ;\-0.0\ "/>
    <numFmt numFmtId="169" formatCode="mmm\-yyyy"/>
  </numFmts>
  <fonts count="9"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0"/>
      <name val="Arial"/>
      <family val="2"/>
    </font>
    <font>
      <i/>
      <sz val="11"/>
      <color theme="1"/>
      <name val="Calibri"/>
      <family val="2"/>
      <scheme val="minor"/>
    </font>
    <font>
      <sz val="9"/>
      <name val="Arial"/>
      <family val="2"/>
    </font>
    <font>
      <sz val="11"/>
      <color rgb="FFFF0000"/>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xf numFmtId="43" fontId="2" fillId="0" borderId="0" applyFont="0" applyFill="0" applyBorder="0" applyAlignment="0" applyProtection="0"/>
  </cellStyleXfs>
  <cellXfs count="42">
    <xf numFmtId="0" fontId="0" fillId="0" borderId="0" xfId="0"/>
    <xf numFmtId="10" fontId="0" fillId="0" borderId="0" xfId="0" applyNumberFormat="1"/>
    <xf numFmtId="2" fontId="0" fillId="0" borderId="0" xfId="0" applyNumberFormat="1"/>
    <xf numFmtId="10" fontId="0" fillId="0" borderId="0" xfId="1" applyNumberFormat="1" applyFont="1"/>
    <xf numFmtId="0" fontId="3" fillId="0" borderId="0" xfId="2"/>
    <xf numFmtId="164" fontId="0" fillId="0" borderId="0" xfId="1" applyNumberFormat="1" applyFont="1"/>
    <xf numFmtId="165" fontId="0" fillId="0" borderId="0" xfId="0" applyNumberFormat="1"/>
    <xf numFmtId="1" fontId="0" fillId="0" borderId="0" xfId="0" applyNumberFormat="1"/>
    <xf numFmtId="164" fontId="0" fillId="0" borderId="0" xfId="0" applyNumberFormat="1"/>
    <xf numFmtId="0" fontId="1" fillId="0" borderId="0" xfId="0" applyFont="1"/>
    <xf numFmtId="166" fontId="0" fillId="0" borderId="0" xfId="0" applyNumberFormat="1"/>
    <xf numFmtId="2" fontId="0" fillId="0" borderId="0" xfId="1" applyNumberFormat="1" applyFont="1"/>
    <xf numFmtId="9" fontId="0" fillId="0" borderId="0" xfId="0" applyNumberFormat="1"/>
    <xf numFmtId="0" fontId="0" fillId="0" borderId="0" xfId="0" applyFill="1"/>
    <xf numFmtId="164" fontId="0" fillId="0" borderId="0" xfId="1" applyNumberFormat="1" applyFont="1" applyFill="1"/>
    <xf numFmtId="0" fontId="0" fillId="0" borderId="0" xfId="0" applyAlignment="1">
      <alignment wrapText="1"/>
    </xf>
    <xf numFmtId="3" fontId="0" fillId="0" borderId="0" xfId="0" applyNumberFormat="1"/>
    <xf numFmtId="43" fontId="0" fillId="0" borderId="0" xfId="4" applyFont="1"/>
    <xf numFmtId="4" fontId="0" fillId="0" borderId="0" xfId="0" applyNumberFormat="1"/>
    <xf numFmtId="166" fontId="0" fillId="3" borderId="1" xfId="0" applyNumberFormat="1" applyFill="1" applyBorder="1"/>
    <xf numFmtId="167" fontId="0" fillId="0" borderId="0" xfId="0" applyNumberFormat="1"/>
    <xf numFmtId="4" fontId="0" fillId="0" borderId="0" xfId="0" applyNumberFormat="1" applyFill="1"/>
    <xf numFmtId="4" fontId="0" fillId="2" borderId="0" xfId="0" applyNumberFormat="1" applyFill="1"/>
    <xf numFmtId="0" fontId="5" fillId="0" borderId="0" xfId="0" applyFont="1"/>
    <xf numFmtId="0" fontId="0" fillId="2" borderId="0" xfId="0" applyFill="1"/>
    <xf numFmtId="43" fontId="0" fillId="2" borderId="0" xfId="4" applyFont="1" applyFill="1"/>
    <xf numFmtId="166" fontId="0" fillId="2" borderId="0" xfId="0" applyNumberFormat="1" applyFill="1"/>
    <xf numFmtId="0" fontId="0" fillId="4" borderId="0" xfId="0" applyFill="1"/>
    <xf numFmtId="0" fontId="1" fillId="0" borderId="0" xfId="0" applyFont="1" applyAlignment="1">
      <alignment wrapText="1"/>
    </xf>
    <xf numFmtId="3" fontId="0" fillId="2" borderId="0" xfId="0" applyNumberFormat="1" applyFill="1"/>
    <xf numFmtId="0" fontId="0" fillId="0" borderId="0" xfId="0" applyFont="1"/>
    <xf numFmtId="0" fontId="0" fillId="5" borderId="0" xfId="0" applyFont="1" applyFill="1"/>
    <xf numFmtId="169" fontId="6" fillId="0" borderId="0" xfId="0" applyNumberFormat="1" applyFont="1" applyAlignment="1">
      <alignment horizontal="right"/>
    </xf>
    <xf numFmtId="169" fontId="6" fillId="0" borderId="0" xfId="0" applyNumberFormat="1" applyFont="1" applyBorder="1" applyAlignment="1">
      <alignment horizontal="right"/>
    </xf>
    <xf numFmtId="168" fontId="6" fillId="5" borderId="0" xfId="0" applyNumberFormat="1" applyFont="1" applyFill="1" applyAlignment="1">
      <alignment horizontal="left"/>
    </xf>
    <xf numFmtId="168" fontId="6" fillId="5" borderId="0" xfId="0" applyNumberFormat="1" applyFont="1" applyFill="1" applyBorder="1" applyAlignment="1">
      <alignment horizontal="left"/>
    </xf>
    <xf numFmtId="10" fontId="0" fillId="6" borderId="0" xfId="0" applyNumberFormat="1" applyFill="1"/>
    <xf numFmtId="3" fontId="0" fillId="0" borderId="0" xfId="0" applyNumberFormat="1" applyFill="1"/>
    <xf numFmtId="165" fontId="0" fillId="4" borderId="0" xfId="0" applyNumberFormat="1" applyFill="1"/>
    <xf numFmtId="165" fontId="0" fillId="4" borderId="0" xfId="0" applyNumberFormat="1" applyFill="1" applyAlignment="1">
      <alignment horizontal="right"/>
    </xf>
    <xf numFmtId="0" fontId="0" fillId="0" borderId="0" xfId="0" applyAlignment="1">
      <alignment horizontal="center" wrapText="1"/>
    </xf>
    <xf numFmtId="0" fontId="0" fillId="0" borderId="0" xfId="0" applyAlignment="1">
      <alignment horizontal="center"/>
    </xf>
  </cellXfs>
  <cellStyles count="5">
    <cellStyle name="Comma" xfId="4" builtinId="3"/>
    <cellStyle name="Hyperlink" xfId="2" builtinId="8"/>
    <cellStyle name="Normal" xfId="0" builtinId="0"/>
    <cellStyle name="Normal 2" xfId="3"/>
    <cellStyle name="Percent" xfId="1" builtinId="5"/>
  </cellStyles>
  <dxfs count="0"/>
  <tableStyles count="0" defaultTableStyle="TableStyleMedium2" defaultPivotStyle="PivotStyleLight16"/>
  <colors>
    <mruColors>
      <color rgb="FFCCECFF"/>
      <color rgb="FFFFCC99"/>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58965642024003E-2"/>
          <c:y val="7.8779217604695417E-2"/>
          <c:w val="0.91631761352349428"/>
          <c:h val="0.78998044950125845"/>
        </c:manualLayout>
      </c:layout>
      <c:lineChart>
        <c:grouping val="standard"/>
        <c:varyColors val="0"/>
        <c:ser>
          <c:idx val="0"/>
          <c:order val="0"/>
          <c:marker>
            <c:symbol val="none"/>
          </c:marker>
          <c:cat>
            <c:strRef>
              <c:f>'ODA-GNI time series'!$A$21:$A$67</c:f>
              <c:strCache>
                <c:ptCount val="47"/>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strCache>
            </c:strRef>
          </c:cat>
          <c:val>
            <c:numRef>
              <c:f>'ODA-GNI time series'!$F$21:$F$67</c:f>
              <c:numCache>
                <c:formatCode>0.000</c:formatCode>
                <c:ptCount val="47"/>
                <c:pt idx="0">
                  <c:v>0.45</c:v>
                </c:pt>
                <c:pt idx="1">
                  <c:v>0.44</c:v>
                </c:pt>
                <c:pt idx="2">
                  <c:v>0.44</c:v>
                </c:pt>
                <c:pt idx="3">
                  <c:v>0.47</c:v>
                </c:pt>
                <c:pt idx="4">
                  <c:v>0.43</c:v>
                </c:pt>
                <c:pt idx="5">
                  <c:v>0.4</c:v>
                </c:pt>
                <c:pt idx="6">
                  <c:v>0.41</c:v>
                </c:pt>
                <c:pt idx="7">
                  <c:v>0.4</c:v>
                </c:pt>
                <c:pt idx="8">
                  <c:v>0.38</c:v>
                </c:pt>
                <c:pt idx="9">
                  <c:v>0.37</c:v>
                </c:pt>
                <c:pt idx="10">
                  <c:v>0.38</c:v>
                </c:pt>
                <c:pt idx="11">
                  <c:v>0.4</c:v>
                </c:pt>
                <c:pt idx="12">
                  <c:v>0.44093847304114103</c:v>
                </c:pt>
                <c:pt idx="13">
                  <c:v>0.43546400985111383</c:v>
                </c:pt>
                <c:pt idx="14">
                  <c:v>0.40233047292366647</c:v>
                </c:pt>
                <c:pt idx="15">
                  <c:v>0.34691700448047791</c:v>
                </c:pt>
                <c:pt idx="16">
                  <c:v>0.31995882836574974</c:v>
                </c:pt>
                <c:pt idx="17">
                  <c:v>0.33333054302240894</c:v>
                </c:pt>
                <c:pt idx="18">
                  <c:v>0.30043434749335168</c:v>
                </c:pt>
                <c:pt idx="19">
                  <c:v>0.31625014107113747</c:v>
                </c:pt>
                <c:pt idx="20">
                  <c:v>0.32682291666666669</c:v>
                </c:pt>
                <c:pt idx="21">
                  <c:v>0.32046406136929545</c:v>
                </c:pt>
                <c:pt idx="22">
                  <c:v>0.30903355822307893</c:v>
                </c:pt>
                <c:pt idx="23">
                  <c:v>0.30984909553384593</c:v>
                </c:pt>
                <c:pt idx="24">
                  <c:v>0.30484461052747031</c:v>
                </c:pt>
                <c:pt idx="25">
                  <c:v>0.2660641824100361</c:v>
                </c:pt>
                <c:pt idx="26">
                  <c:v>0.25295686060025979</c:v>
                </c:pt>
                <c:pt idx="27">
                  <c:v>0.25427337631661245</c:v>
                </c:pt>
                <c:pt idx="28">
                  <c:v>0.27236451084349361</c:v>
                </c:pt>
                <c:pt idx="29">
                  <c:v>0.23668250771759086</c:v>
                </c:pt>
                <c:pt idx="30">
                  <c:v>0.23932474722337749</c:v>
                </c:pt>
                <c:pt idx="31" formatCode="0.00">
                  <c:v>0.23511523317605904</c:v>
                </c:pt>
                <c:pt idx="32">
                  <c:v>0.23562300796396451</c:v>
                </c:pt>
                <c:pt idx="33">
                  <c:v>0.24741620536186631</c:v>
                </c:pt>
                <c:pt idx="34">
                  <c:v>0.27967758729690945</c:v>
                </c:pt>
                <c:pt idx="35">
                  <c:v>0.28659473509072553</c:v>
                </c:pt>
                <c:pt idx="36">
                  <c:v>0.27546383687651327</c:v>
                </c:pt>
                <c:pt idx="37">
                  <c:v>0.30767596755237459</c:v>
                </c:pt>
                <c:pt idx="38">
                  <c:v>0.31122385603469793</c:v>
                </c:pt>
                <c:pt idx="39">
                  <c:v>0.31809802838844864</c:v>
                </c:pt>
                <c:pt idx="40">
                  <c:v>0.33423789505620555</c:v>
                </c:pt>
                <c:pt idx="41">
                  <c:v>0.33926978316613121</c:v>
                </c:pt>
                <c:pt idx="42">
                  <c:v>0.32612978530171316</c:v>
                </c:pt>
                <c:pt idx="43">
                  <c:v>0.31752357002613874</c:v>
                </c:pt>
                <c:pt idx="44">
                  <c:v>0.2494749758498126</c:v>
                </c:pt>
                <c:pt idx="45">
                  <c:v>0.22234307948394519</c:v>
                </c:pt>
                <c:pt idx="46">
                  <c:v>0.2184827704116413</c:v>
                </c:pt>
              </c:numCache>
            </c:numRef>
          </c:val>
          <c:smooth val="0"/>
          <c:extLst xmlns:c16r2="http://schemas.microsoft.com/office/drawing/2015/06/chart">
            <c:ext xmlns:c16="http://schemas.microsoft.com/office/drawing/2014/chart" uri="{C3380CC4-5D6E-409C-BE32-E72D297353CC}">
              <c16:uniqueId val="{00000000-ED87-4BF8-8FE0-06661A138A62}"/>
            </c:ext>
          </c:extLst>
        </c:ser>
        <c:dLbls>
          <c:showLegendKey val="0"/>
          <c:showVal val="0"/>
          <c:showCatName val="0"/>
          <c:showSerName val="0"/>
          <c:showPercent val="0"/>
          <c:showBubbleSize val="0"/>
        </c:dLbls>
        <c:smooth val="0"/>
        <c:axId val="152147616"/>
        <c:axId val="152148008"/>
      </c:lineChart>
      <c:catAx>
        <c:axId val="152147616"/>
        <c:scaling>
          <c:orientation val="minMax"/>
        </c:scaling>
        <c:delete val="0"/>
        <c:axPos val="b"/>
        <c:numFmt formatCode="General" sourceLinked="0"/>
        <c:majorTickMark val="out"/>
        <c:minorTickMark val="none"/>
        <c:tickLblPos val="nextTo"/>
        <c:crossAx val="152148008"/>
        <c:crosses val="autoZero"/>
        <c:auto val="1"/>
        <c:lblAlgn val="ctr"/>
        <c:lblOffset val="100"/>
        <c:noMultiLvlLbl val="0"/>
      </c:catAx>
      <c:valAx>
        <c:axId val="152148008"/>
        <c:scaling>
          <c:orientation val="minMax"/>
          <c:min val="0.2"/>
        </c:scaling>
        <c:delete val="0"/>
        <c:axPos val="l"/>
        <c:majorGridlines>
          <c:spPr>
            <a:ln>
              <a:solidFill>
                <a:schemeClr val="bg1">
                  <a:lumMod val="75000"/>
                </a:schemeClr>
              </a:solidFill>
            </a:ln>
          </c:spPr>
        </c:majorGridlines>
        <c:title>
          <c:tx>
            <c:rich>
              <a:bodyPr rot="0" vert="horz"/>
              <a:lstStyle/>
              <a:p>
                <a:pPr>
                  <a:defRPr/>
                </a:pPr>
                <a:r>
                  <a:rPr lang="en-AU"/>
                  <a:t>ODA/GNI ratio</a:t>
                </a:r>
              </a:p>
            </c:rich>
          </c:tx>
          <c:layout>
            <c:manualLayout>
              <c:xMode val="edge"/>
              <c:yMode val="edge"/>
              <c:x val="8.4263739932639442E-3"/>
              <c:y val="9.8507781061879084E-3"/>
            </c:manualLayout>
          </c:layout>
          <c:overlay val="0"/>
        </c:title>
        <c:numFmt formatCode="0.00" sourceLinked="0"/>
        <c:majorTickMark val="out"/>
        <c:minorTickMark val="none"/>
        <c:tickLblPos val="nextTo"/>
        <c:crossAx val="15214761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'ODA-GNI time series'!$O$4</c:f>
              <c:strCache>
                <c:ptCount val="1"/>
                <c:pt idx="0">
                  <c:v>2015-16 $A m (LHS)</c:v>
                </c:pt>
              </c:strCache>
            </c:strRef>
          </c:tx>
          <c:spPr>
            <a:ln w="28575" cap="rnd">
              <a:solidFill>
                <a:schemeClr val="accent1"/>
              </a:solidFill>
              <a:round/>
            </a:ln>
            <a:effectLst/>
          </c:spPr>
          <c:marker>
            <c:symbol val="none"/>
          </c:marker>
          <c:cat>
            <c:strRef>
              <c:f>'ODA-GNI time series'!$A$21:$A$67</c:f>
              <c:strCache>
                <c:ptCount val="47"/>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strCache>
            </c:strRef>
          </c:cat>
          <c:val>
            <c:numRef>
              <c:f>'ODA-GNI time series'!$D$21:$D$67</c:f>
              <c:numCache>
                <c:formatCode>#,##0.00</c:formatCode>
                <c:ptCount val="47"/>
                <c:pt idx="0">
                  <c:v>2227.455398577591</c:v>
                </c:pt>
                <c:pt idx="1">
                  <c:v>2322.4178856412614</c:v>
                </c:pt>
                <c:pt idx="2">
                  <c:v>2464.4115570563713</c:v>
                </c:pt>
                <c:pt idx="3">
                  <c:v>2552.5106416189942</c:v>
                </c:pt>
                <c:pt idx="4">
                  <c:v>2354.7096318347139</c:v>
                </c:pt>
                <c:pt idx="5">
                  <c:v>2266.2730028867927</c:v>
                </c:pt>
                <c:pt idx="6">
                  <c:v>2299.9149266214345</c:v>
                </c:pt>
                <c:pt idx="7">
                  <c:v>2392.7396325782215</c:v>
                </c:pt>
                <c:pt idx="8">
                  <c:v>2375.8624133133508</c:v>
                </c:pt>
                <c:pt idx="9">
                  <c:v>2398.3653723331781</c:v>
                </c:pt>
                <c:pt idx="10">
                  <c:v>2459.798450457306</c:v>
                </c:pt>
                <c:pt idx="11">
                  <c:v>2491.302593085064</c:v>
                </c:pt>
                <c:pt idx="12">
                  <c:v>2920.3700856093237</c:v>
                </c:pt>
                <c:pt idx="13">
                  <c:v>3034.5990336870914</c:v>
                </c:pt>
                <c:pt idx="14">
                  <c:v>2907.3371866468419</c:v>
                </c:pt>
                <c:pt idx="15">
                  <c:v>2552.7775371794623</c:v>
                </c:pt>
                <c:pt idx="16">
                  <c:v>2504.8053511589269</c:v>
                </c:pt>
                <c:pt idx="17">
                  <c:v>2698.9994824383052</c:v>
                </c:pt>
                <c:pt idx="18">
                  <c:v>2506.0695728152859</c:v>
                </c:pt>
                <c:pt idx="19">
                  <c:v>2584.3562225867067</c:v>
                </c:pt>
                <c:pt idx="20">
                  <c:v>2672.829141435363</c:v>
                </c:pt>
                <c:pt idx="21">
                  <c:v>2770.1022644211739</c:v>
                </c:pt>
                <c:pt idx="22">
                  <c:v>2789.7341463244416</c:v>
                </c:pt>
                <c:pt idx="23">
                  <c:v>2868.3539774671435</c:v>
                </c:pt>
                <c:pt idx="24">
                  <c:v>2923.6941330852228</c:v>
                </c:pt>
                <c:pt idx="25">
                  <c:v>2650.0195161506981</c:v>
                </c:pt>
                <c:pt idx="26">
                  <c:v>2635.695605974885</c:v>
                </c:pt>
                <c:pt idx="27">
                  <c:v>2778.5156023996597</c:v>
                </c:pt>
                <c:pt idx="28">
                  <c:v>3098.4979872418699</c:v>
                </c:pt>
                <c:pt idx="29">
                  <c:v>2754.491160262553</c:v>
                </c:pt>
                <c:pt idx="30">
                  <c:v>2908.3168906994579</c:v>
                </c:pt>
                <c:pt idx="31">
                  <c:v>2942.7440981071113</c:v>
                </c:pt>
                <c:pt idx="32">
                  <c:v>3062.1095477255835</c:v>
                </c:pt>
                <c:pt idx="33">
                  <c:v>3280.0898024855478</c:v>
                </c:pt>
                <c:pt idx="34">
                  <c:v>3807.4848552892818</c:v>
                </c:pt>
                <c:pt idx="35">
                  <c:v>4027.1562982205155</c:v>
                </c:pt>
                <c:pt idx="36">
                  <c:v>4028.5685560964771</c:v>
                </c:pt>
                <c:pt idx="37">
                  <c:v>4590.7226637160829</c:v>
                </c:pt>
                <c:pt idx="38">
                  <c:v>4716.7454620013486</c:v>
                </c:pt>
                <c:pt idx="39">
                  <c:v>4935.4401305578758</c:v>
                </c:pt>
                <c:pt idx="40">
                  <c:v>5429.0172269370305</c:v>
                </c:pt>
                <c:pt idx="41">
                  <c:v>5553.1851412266315</c:v>
                </c:pt>
                <c:pt idx="42">
                  <c:v>5385.5159207655597</c:v>
                </c:pt>
                <c:pt idx="43">
                  <c:v>5283.3374315999999</c:v>
                </c:pt>
                <c:pt idx="44">
                  <c:v>4215.7007999999996</c:v>
                </c:pt>
                <c:pt idx="45">
                  <c:v>3904.56</c:v>
                </c:pt>
                <c:pt idx="46">
                  <c:v>3912</c:v>
                </c:pt>
              </c:numCache>
            </c:numRef>
          </c:val>
          <c:smooth val="0"/>
          <c:extLst xmlns:c16r2="http://schemas.microsoft.com/office/drawing/2015/06/chart">
            <c:ext xmlns:c16="http://schemas.microsoft.com/office/drawing/2014/chart" uri="{C3380CC4-5D6E-409C-BE32-E72D297353CC}">
              <c16:uniqueId val="{00000000-286A-4E65-8ADC-849A89CCC387}"/>
            </c:ext>
          </c:extLst>
        </c:ser>
        <c:dLbls>
          <c:showLegendKey val="0"/>
          <c:showVal val="0"/>
          <c:showCatName val="0"/>
          <c:showSerName val="0"/>
          <c:showPercent val="0"/>
          <c:showBubbleSize val="0"/>
        </c:dLbls>
        <c:marker val="1"/>
        <c:smooth val="0"/>
        <c:axId val="205776512"/>
        <c:axId val="205776904"/>
      </c:lineChart>
      <c:lineChart>
        <c:grouping val="standard"/>
        <c:varyColors val="0"/>
        <c:ser>
          <c:idx val="1"/>
          <c:order val="1"/>
          <c:tx>
            <c:strRef>
              <c:f>'ODA-GNI time series'!$O$3</c:f>
              <c:strCache>
                <c:ptCount val="1"/>
                <c:pt idx="0">
                  <c:v>Aid/GNI (RHS)</c:v>
                </c:pt>
              </c:strCache>
            </c:strRef>
          </c:tx>
          <c:spPr>
            <a:ln w="28575" cap="rnd">
              <a:solidFill>
                <a:schemeClr val="accent2"/>
              </a:solidFill>
              <a:round/>
            </a:ln>
            <a:effectLst/>
          </c:spPr>
          <c:marker>
            <c:symbol val="none"/>
          </c:marker>
          <c:cat>
            <c:strRef>
              <c:f>'ODA-GNI time series'!$A$21:$A$67</c:f>
              <c:strCache>
                <c:ptCount val="47"/>
                <c:pt idx="0">
                  <c:v>1971-72</c:v>
                </c:pt>
                <c:pt idx="1">
                  <c:v>1972-73</c:v>
                </c:pt>
                <c:pt idx="2">
                  <c:v>1973-74</c:v>
                </c:pt>
                <c:pt idx="3">
                  <c:v>1974-75</c:v>
                </c:pt>
                <c:pt idx="4">
                  <c:v>1975-76</c:v>
                </c:pt>
                <c:pt idx="5">
                  <c:v>1976-77</c:v>
                </c:pt>
                <c:pt idx="6">
                  <c:v>1977-78</c:v>
                </c:pt>
                <c:pt idx="7">
                  <c:v>1978-79</c:v>
                </c:pt>
                <c:pt idx="8">
                  <c:v>1979-80</c:v>
                </c:pt>
                <c:pt idx="9">
                  <c:v>1980-81</c:v>
                </c:pt>
                <c:pt idx="10">
                  <c:v>1981-82</c:v>
                </c:pt>
                <c:pt idx="11">
                  <c:v>1982-83</c:v>
                </c:pt>
                <c:pt idx="12">
                  <c:v>1983-84</c:v>
                </c:pt>
                <c:pt idx="13">
                  <c:v>1984-85</c:v>
                </c:pt>
                <c:pt idx="14">
                  <c:v>1985-86</c:v>
                </c:pt>
                <c:pt idx="15">
                  <c:v>1986-87</c:v>
                </c:pt>
                <c:pt idx="16">
                  <c:v>1987-88</c:v>
                </c:pt>
                <c:pt idx="17">
                  <c:v>1988-89</c:v>
                </c:pt>
                <c:pt idx="18">
                  <c:v>1989-90</c:v>
                </c:pt>
                <c:pt idx="19">
                  <c:v>1990-91</c:v>
                </c:pt>
                <c:pt idx="20">
                  <c:v>1991-92</c:v>
                </c:pt>
                <c:pt idx="21">
                  <c:v>1992-93</c:v>
                </c:pt>
                <c:pt idx="22">
                  <c:v>1993-94</c:v>
                </c:pt>
                <c:pt idx="23">
                  <c:v>1994-95</c:v>
                </c:pt>
                <c:pt idx="24">
                  <c:v>1995-96</c:v>
                </c:pt>
                <c:pt idx="25">
                  <c:v>1996-97</c:v>
                </c:pt>
                <c:pt idx="26">
                  <c:v>1997-98</c:v>
                </c:pt>
                <c:pt idx="27">
                  <c:v>1998-99</c:v>
                </c:pt>
                <c:pt idx="28">
                  <c:v>1999-00</c:v>
                </c:pt>
                <c:pt idx="29">
                  <c:v>2000-01</c:v>
                </c:pt>
                <c:pt idx="30">
                  <c:v>2001-02</c:v>
                </c:pt>
                <c:pt idx="31">
                  <c:v>2002-03</c:v>
                </c:pt>
                <c:pt idx="32">
                  <c:v>2003-04</c:v>
                </c:pt>
                <c:pt idx="33">
                  <c:v>2004-05</c:v>
                </c:pt>
                <c:pt idx="34">
                  <c:v>2005-06</c:v>
                </c:pt>
                <c:pt idx="35">
                  <c:v>2006-07</c:v>
                </c:pt>
                <c:pt idx="36">
                  <c:v>2007-08</c:v>
                </c:pt>
                <c:pt idx="37">
                  <c:v>2008-09</c:v>
                </c:pt>
                <c:pt idx="38">
                  <c:v>2009-10</c:v>
                </c:pt>
                <c:pt idx="39">
                  <c:v>2010-11</c:v>
                </c:pt>
                <c:pt idx="40">
                  <c:v>2011-12</c:v>
                </c:pt>
                <c:pt idx="41">
                  <c:v>2012-13</c:v>
                </c:pt>
                <c:pt idx="42">
                  <c:v>2013-14</c:v>
                </c:pt>
                <c:pt idx="43">
                  <c:v>2014-15</c:v>
                </c:pt>
                <c:pt idx="44">
                  <c:v>2015-16</c:v>
                </c:pt>
                <c:pt idx="45">
                  <c:v>2016-17</c:v>
                </c:pt>
                <c:pt idx="46">
                  <c:v>2017-18</c:v>
                </c:pt>
              </c:strCache>
            </c:strRef>
          </c:cat>
          <c:val>
            <c:numRef>
              <c:f>'ODA-GNI time series'!$F$21:$F$67</c:f>
              <c:numCache>
                <c:formatCode>0.000</c:formatCode>
                <c:ptCount val="47"/>
                <c:pt idx="0">
                  <c:v>0.45</c:v>
                </c:pt>
                <c:pt idx="1">
                  <c:v>0.44</c:v>
                </c:pt>
                <c:pt idx="2">
                  <c:v>0.44</c:v>
                </c:pt>
                <c:pt idx="3">
                  <c:v>0.47</c:v>
                </c:pt>
                <c:pt idx="4">
                  <c:v>0.43</c:v>
                </c:pt>
                <c:pt idx="5">
                  <c:v>0.4</c:v>
                </c:pt>
                <c:pt idx="6">
                  <c:v>0.41</c:v>
                </c:pt>
                <c:pt idx="7">
                  <c:v>0.4</c:v>
                </c:pt>
                <c:pt idx="8">
                  <c:v>0.38</c:v>
                </c:pt>
                <c:pt idx="9">
                  <c:v>0.37</c:v>
                </c:pt>
                <c:pt idx="10">
                  <c:v>0.38</c:v>
                </c:pt>
                <c:pt idx="11">
                  <c:v>0.4</c:v>
                </c:pt>
                <c:pt idx="12">
                  <c:v>0.44093847304114103</c:v>
                </c:pt>
                <c:pt idx="13">
                  <c:v>0.43546400985111383</c:v>
                </c:pt>
                <c:pt idx="14">
                  <c:v>0.40233047292366647</c:v>
                </c:pt>
                <c:pt idx="15">
                  <c:v>0.34691700448047791</c:v>
                </c:pt>
                <c:pt idx="16">
                  <c:v>0.31995882836574974</c:v>
                </c:pt>
                <c:pt idx="17">
                  <c:v>0.33333054302240894</c:v>
                </c:pt>
                <c:pt idx="18">
                  <c:v>0.30043434749335168</c:v>
                </c:pt>
                <c:pt idx="19">
                  <c:v>0.31625014107113747</c:v>
                </c:pt>
                <c:pt idx="20">
                  <c:v>0.32682291666666669</c:v>
                </c:pt>
                <c:pt idx="21">
                  <c:v>0.32046406136929545</c:v>
                </c:pt>
                <c:pt idx="22">
                  <c:v>0.30903355822307893</c:v>
                </c:pt>
                <c:pt idx="23">
                  <c:v>0.30984909553384593</c:v>
                </c:pt>
                <c:pt idx="24">
                  <c:v>0.30484461052747031</c:v>
                </c:pt>
                <c:pt idx="25">
                  <c:v>0.2660641824100361</c:v>
                </c:pt>
                <c:pt idx="26">
                  <c:v>0.25295686060025979</c:v>
                </c:pt>
                <c:pt idx="27">
                  <c:v>0.25427337631661245</c:v>
                </c:pt>
                <c:pt idx="28">
                  <c:v>0.27236451084349361</c:v>
                </c:pt>
                <c:pt idx="29">
                  <c:v>0.23668250771759086</c:v>
                </c:pt>
                <c:pt idx="30">
                  <c:v>0.23932474722337749</c:v>
                </c:pt>
                <c:pt idx="31" formatCode="0.00">
                  <c:v>0.23511523317605904</c:v>
                </c:pt>
                <c:pt idx="32">
                  <c:v>0.23562300796396451</c:v>
                </c:pt>
                <c:pt idx="33">
                  <c:v>0.24741620536186631</c:v>
                </c:pt>
                <c:pt idx="34">
                  <c:v>0.27967758729690945</c:v>
                </c:pt>
                <c:pt idx="35">
                  <c:v>0.28659473509072553</c:v>
                </c:pt>
                <c:pt idx="36">
                  <c:v>0.27546383687651327</c:v>
                </c:pt>
                <c:pt idx="37">
                  <c:v>0.30767596755237459</c:v>
                </c:pt>
                <c:pt idx="38">
                  <c:v>0.31122385603469793</c:v>
                </c:pt>
                <c:pt idx="39">
                  <c:v>0.31809802838844864</c:v>
                </c:pt>
                <c:pt idx="40">
                  <c:v>0.33423789505620555</c:v>
                </c:pt>
                <c:pt idx="41">
                  <c:v>0.33926978316613121</c:v>
                </c:pt>
                <c:pt idx="42">
                  <c:v>0.32612978530171316</c:v>
                </c:pt>
                <c:pt idx="43">
                  <c:v>0.31752357002613874</c:v>
                </c:pt>
                <c:pt idx="44">
                  <c:v>0.2494749758498126</c:v>
                </c:pt>
                <c:pt idx="45">
                  <c:v>0.22234307948394519</c:v>
                </c:pt>
                <c:pt idx="46">
                  <c:v>0.2184827704116413</c:v>
                </c:pt>
              </c:numCache>
            </c:numRef>
          </c:val>
          <c:smooth val="0"/>
          <c:extLst xmlns:c16r2="http://schemas.microsoft.com/office/drawing/2015/06/chart">
            <c:ext xmlns:c16="http://schemas.microsoft.com/office/drawing/2014/chart" uri="{C3380CC4-5D6E-409C-BE32-E72D297353CC}">
              <c16:uniqueId val="{00000001-286A-4E65-8ADC-849A89CCC387}"/>
            </c:ext>
          </c:extLst>
        </c:ser>
        <c:dLbls>
          <c:showLegendKey val="0"/>
          <c:showVal val="0"/>
          <c:showCatName val="0"/>
          <c:showSerName val="0"/>
          <c:showPercent val="0"/>
          <c:showBubbleSize val="0"/>
        </c:dLbls>
        <c:marker val="1"/>
        <c:smooth val="0"/>
        <c:axId val="205777688"/>
        <c:axId val="205777296"/>
      </c:line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904"/>
        <c:crosses val="autoZero"/>
        <c:auto val="1"/>
        <c:lblAlgn val="ctr"/>
        <c:lblOffset val="100"/>
        <c:noMultiLvlLbl val="0"/>
      </c:catAx>
      <c:valAx>
        <c:axId val="20577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 -</a:t>
                </a:r>
                <a:r>
                  <a:rPr lang="en-US" baseline="0"/>
                  <a:t> Million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midCat"/>
      </c:valAx>
      <c:valAx>
        <c:axId val="205777296"/>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7688"/>
        <c:crosses val="max"/>
        <c:crossBetween val="between"/>
      </c:valAx>
      <c:catAx>
        <c:axId val="205777688"/>
        <c:scaling>
          <c:orientation val="minMax"/>
        </c:scaling>
        <c:delete val="1"/>
        <c:axPos val="b"/>
        <c:numFmt formatCode="General" sourceLinked="1"/>
        <c:majorTickMark val="out"/>
        <c:minorTickMark val="none"/>
        <c:tickLblPos val="nextTo"/>
        <c:crossAx val="205777296"/>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71095103284999E-2"/>
          <c:y val="9.8956570723578524E-2"/>
          <c:w val="0.84593149739411477"/>
          <c:h val="0.73397238869587944"/>
        </c:manualLayout>
      </c:layout>
      <c:lineChart>
        <c:grouping val="standard"/>
        <c:varyColors val="0"/>
        <c:ser>
          <c:idx val="0"/>
          <c:order val="0"/>
          <c:tx>
            <c:strRef>
              <c:f>'Historic cuts comparison'!$B$24</c:f>
              <c:strCache>
                <c:ptCount val="1"/>
                <c:pt idx="0">
                  <c:v>$M cuts (LHS)</c:v>
                </c:pt>
              </c:strCache>
            </c:strRef>
          </c:tx>
          <c:marker>
            <c:symbol val="none"/>
          </c:marker>
          <c:cat>
            <c:strRef>
              <c:f>'Historic cuts comparison'!$A$25:$A$27</c:f>
              <c:strCache>
                <c:ptCount val="3"/>
                <c:pt idx="0">
                  <c:v>Hawke-Keating (84/5-87/8)</c:v>
                </c:pt>
                <c:pt idx="1">
                  <c:v>Howard-Costello (95/6-97/8)</c:v>
                </c:pt>
                <c:pt idx="2">
                  <c:v>Abbott-Hockey (12/3-16/17)</c:v>
                </c:pt>
              </c:strCache>
            </c:strRef>
          </c:cat>
          <c:val>
            <c:numRef>
              <c:f>'Historic cuts comparison'!$B$25:$B$27</c:f>
              <c:numCache>
                <c:formatCode>0.0</c:formatCode>
                <c:ptCount val="3"/>
                <c:pt idx="0">
                  <c:v>529.79368252816448</c:v>
                </c:pt>
                <c:pt idx="1">
                  <c:v>287.99852711033782</c:v>
                </c:pt>
                <c:pt idx="2">
                  <c:v>0</c:v>
                </c:pt>
              </c:numCache>
            </c:numRef>
          </c:val>
          <c:smooth val="0"/>
          <c:extLst xmlns:c16r2="http://schemas.microsoft.com/office/drawing/2015/06/chart">
            <c:ext xmlns:c16="http://schemas.microsoft.com/office/drawing/2014/chart" uri="{C3380CC4-5D6E-409C-BE32-E72D297353CC}">
              <c16:uniqueId val="{00000000-26DC-4C80-8A07-7CD1502F03D5}"/>
            </c:ext>
          </c:extLst>
        </c:ser>
        <c:dLbls>
          <c:showLegendKey val="0"/>
          <c:showVal val="0"/>
          <c:showCatName val="0"/>
          <c:showSerName val="0"/>
          <c:showPercent val="0"/>
          <c:showBubbleSize val="0"/>
        </c:dLbls>
        <c:marker val="1"/>
        <c:smooth val="0"/>
        <c:axId val="205778472"/>
        <c:axId val="205778864"/>
      </c:lineChart>
      <c:lineChart>
        <c:grouping val="standard"/>
        <c:varyColors val="0"/>
        <c:ser>
          <c:idx val="1"/>
          <c:order val="1"/>
          <c:tx>
            <c:strRef>
              <c:f>'Historic cuts comparison'!$C$24</c:f>
              <c:strCache>
                <c:ptCount val="1"/>
                <c:pt idx="0">
                  <c:v>% cuts (RHS)</c:v>
                </c:pt>
              </c:strCache>
            </c:strRef>
          </c:tx>
          <c:marker>
            <c:symbol val="none"/>
          </c:marker>
          <c:cat>
            <c:strRef>
              <c:f>'Historic cuts comparison'!$A$25:$A$27</c:f>
              <c:strCache>
                <c:ptCount val="3"/>
                <c:pt idx="0">
                  <c:v>Hawke-Keating (84/5-87/8)</c:v>
                </c:pt>
                <c:pt idx="1">
                  <c:v>Howard-Costello (95/6-97/8)</c:v>
                </c:pt>
                <c:pt idx="2">
                  <c:v>Abbott-Hockey (12/3-16/17)</c:v>
                </c:pt>
              </c:strCache>
            </c:strRef>
          </c:cat>
          <c:val>
            <c:numRef>
              <c:f>'Historic cuts comparison'!$C$25:$C$27</c:f>
              <c:numCache>
                <c:formatCode>0%</c:formatCode>
                <c:ptCount val="3"/>
                <c:pt idx="0">
                  <c:v>0.17458441021265858</c:v>
                </c:pt>
                <c:pt idx="1">
                  <c:v>9.8505012494733132E-2</c:v>
                </c:pt>
                <c:pt idx="2">
                  <c:v>0</c:v>
                </c:pt>
              </c:numCache>
            </c:numRef>
          </c:val>
          <c:smooth val="0"/>
          <c:extLst xmlns:c16r2="http://schemas.microsoft.com/office/drawing/2015/06/chart">
            <c:ext xmlns:c16="http://schemas.microsoft.com/office/drawing/2014/chart" uri="{C3380CC4-5D6E-409C-BE32-E72D297353CC}">
              <c16:uniqueId val="{00000001-26DC-4C80-8A07-7CD1502F03D5}"/>
            </c:ext>
          </c:extLst>
        </c:ser>
        <c:dLbls>
          <c:showLegendKey val="0"/>
          <c:showVal val="0"/>
          <c:showCatName val="0"/>
          <c:showSerName val="0"/>
          <c:showPercent val="0"/>
          <c:showBubbleSize val="0"/>
        </c:dLbls>
        <c:marker val="1"/>
        <c:smooth val="0"/>
        <c:axId val="205434528"/>
        <c:axId val="205779256"/>
      </c:lineChart>
      <c:catAx>
        <c:axId val="205778472"/>
        <c:scaling>
          <c:orientation val="minMax"/>
        </c:scaling>
        <c:delete val="0"/>
        <c:axPos val="b"/>
        <c:numFmt formatCode="General" sourceLinked="0"/>
        <c:majorTickMark val="none"/>
        <c:minorTickMark val="none"/>
        <c:tickLblPos val="nextTo"/>
        <c:crossAx val="205778864"/>
        <c:crosses val="autoZero"/>
        <c:auto val="1"/>
        <c:lblAlgn val="ctr"/>
        <c:lblOffset val="100"/>
        <c:noMultiLvlLbl val="0"/>
      </c:catAx>
      <c:valAx>
        <c:axId val="205778864"/>
        <c:scaling>
          <c:orientation val="minMax"/>
          <c:max val="1800"/>
        </c:scaling>
        <c:delete val="0"/>
        <c:axPos val="l"/>
        <c:majorGridlines/>
        <c:title>
          <c:tx>
            <c:rich>
              <a:bodyPr rot="0" vert="horz"/>
              <a:lstStyle/>
              <a:p>
                <a:pPr>
                  <a:defRPr b="1"/>
                </a:pPr>
                <a:r>
                  <a:rPr lang="en-AU" b="1"/>
                  <a:t>2015-16 $A m</a:t>
                </a:r>
              </a:p>
            </c:rich>
          </c:tx>
          <c:layout>
            <c:manualLayout>
              <c:xMode val="edge"/>
              <c:yMode val="edge"/>
              <c:x val="2.807014320338428E-2"/>
              <c:y val="1.5057595839562709E-2"/>
            </c:manualLayout>
          </c:layout>
          <c:overlay val="0"/>
        </c:title>
        <c:numFmt formatCode="0" sourceLinked="0"/>
        <c:majorTickMark val="none"/>
        <c:minorTickMark val="none"/>
        <c:tickLblPos val="nextTo"/>
        <c:spPr>
          <a:ln w="9525">
            <a:noFill/>
          </a:ln>
        </c:spPr>
        <c:crossAx val="205778472"/>
        <c:crosses val="autoZero"/>
        <c:crossBetween val="between"/>
      </c:valAx>
      <c:valAx>
        <c:axId val="205779256"/>
        <c:scaling>
          <c:orientation val="minMax"/>
        </c:scaling>
        <c:delete val="0"/>
        <c:axPos val="r"/>
        <c:numFmt formatCode="0%" sourceLinked="1"/>
        <c:majorTickMark val="out"/>
        <c:minorTickMark val="none"/>
        <c:tickLblPos val="nextTo"/>
        <c:crossAx val="205434528"/>
        <c:crosses val="max"/>
        <c:crossBetween val="between"/>
      </c:valAx>
      <c:catAx>
        <c:axId val="205434528"/>
        <c:scaling>
          <c:orientation val="minMax"/>
        </c:scaling>
        <c:delete val="1"/>
        <c:axPos val="b"/>
        <c:numFmt formatCode="General" sourceLinked="1"/>
        <c:majorTickMark val="out"/>
        <c:minorTickMark val="none"/>
        <c:tickLblPos val="nextTo"/>
        <c:crossAx val="205779256"/>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1491381</xdr:colOff>
      <xdr:row>46</xdr:row>
      <xdr:rowOff>108830</xdr:rowOff>
    </xdr:from>
    <xdr:to>
      <xdr:col>20</xdr:col>
      <xdr:colOff>179293</xdr:colOff>
      <xdr:row>71</xdr:row>
      <xdr:rowOff>44821</xdr:rowOff>
    </xdr:to>
    <xdr:graphicFrame macro="">
      <xdr:nvGraphicFramePr>
        <xdr:cNvPr id="4" name="Chart 3">
          <a:extLst>
            <a:ext uri="{FF2B5EF4-FFF2-40B4-BE49-F238E27FC236}">
              <a16:creationId xmlns=""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47543</xdr:colOff>
      <xdr:row>22</xdr:row>
      <xdr:rowOff>96019</xdr:rowOff>
    </xdr:from>
    <xdr:to>
      <xdr:col>17</xdr:col>
      <xdr:colOff>245728</xdr:colOff>
      <xdr:row>48</xdr:row>
      <xdr:rowOff>113660</xdr:rowOff>
    </xdr:to>
    <xdr:graphicFrame macro="">
      <xdr:nvGraphicFramePr>
        <xdr:cNvPr id="2" name="Chart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131364</xdr:colOff>
      <xdr:row>0</xdr:row>
      <xdr:rowOff>111917</xdr:rowOff>
    </xdr:from>
    <xdr:to>
      <xdr:col>17</xdr:col>
      <xdr:colOff>607217</xdr:colOff>
      <xdr:row>18</xdr:row>
      <xdr:rowOff>36909</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dfat.gov.au/aid/aid-budgets-statistics/Page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5"/>
  <sheetViews>
    <sheetView tabSelected="1" zoomScale="90" zoomScaleNormal="90" workbookViewId="0">
      <pane xSplit="1" ySplit="1" topLeftCell="B5" activePane="bottomRight" state="frozen"/>
      <selection pane="topRight" activeCell="B1" sqref="B1"/>
      <selection pane="bottomLeft" activeCell="A2" sqref="A2"/>
      <selection pane="bottomRight" activeCell="J26" sqref="J26"/>
    </sheetView>
  </sheetViews>
  <sheetFormatPr defaultRowHeight="15" x14ac:dyDescent="0.25"/>
  <cols>
    <col min="23" max="23" width="10" bestFit="1" customWidth="1"/>
  </cols>
  <sheetData>
    <row r="1" spans="1:29" ht="75" x14ac:dyDescent="0.25">
      <c r="A1" s="15" t="s">
        <v>0</v>
      </c>
      <c r="B1" s="15" t="s">
        <v>98</v>
      </c>
      <c r="C1" s="15" t="s">
        <v>96</v>
      </c>
      <c r="D1" s="15" t="s">
        <v>97</v>
      </c>
      <c r="E1" s="15" t="s">
        <v>90</v>
      </c>
      <c r="F1" s="15" t="s">
        <v>91</v>
      </c>
      <c r="G1" s="15" t="s">
        <v>53</v>
      </c>
      <c r="H1" s="15" t="s">
        <v>147</v>
      </c>
      <c r="I1" s="15" t="s">
        <v>180</v>
      </c>
      <c r="J1" s="15" t="s">
        <v>181</v>
      </c>
      <c r="K1" s="15" t="s">
        <v>88</v>
      </c>
      <c r="L1" s="15" t="s">
        <v>87</v>
      </c>
      <c r="M1" s="15" t="s">
        <v>47</v>
      </c>
      <c r="N1" s="15" t="s">
        <v>48</v>
      </c>
      <c r="O1" s="15" t="s">
        <v>49</v>
      </c>
      <c r="P1" s="15" t="s">
        <v>141</v>
      </c>
      <c r="Q1" s="15" t="s">
        <v>51</v>
      </c>
      <c r="R1" s="15" t="s">
        <v>50</v>
      </c>
      <c r="S1" s="15" t="s">
        <v>55</v>
      </c>
      <c r="T1" s="15" t="s">
        <v>92</v>
      </c>
      <c r="U1" s="15" t="s">
        <v>93</v>
      </c>
      <c r="V1" s="15" t="s">
        <v>52</v>
      </c>
      <c r="W1" s="15" t="s">
        <v>73</v>
      </c>
      <c r="X1" s="15" t="s">
        <v>94</v>
      </c>
      <c r="Y1" s="15" t="s">
        <v>95</v>
      </c>
      <c r="Z1" s="15" t="s">
        <v>99</v>
      </c>
      <c r="AA1" s="15" t="s">
        <v>100</v>
      </c>
      <c r="AB1" s="15" t="s">
        <v>142</v>
      </c>
      <c r="AC1" s="15" t="s">
        <v>143</v>
      </c>
    </row>
    <row r="2" spans="1:29" ht="90" x14ac:dyDescent="0.25">
      <c r="A2" s="15"/>
      <c r="B2" s="15" t="s">
        <v>182</v>
      </c>
      <c r="C2" s="15"/>
      <c r="D2" s="15"/>
      <c r="E2" s="15"/>
      <c r="F2" s="15"/>
      <c r="G2" s="15"/>
      <c r="H2" s="15">
        <v>1</v>
      </c>
      <c r="I2" s="15"/>
      <c r="J2" s="15"/>
      <c r="K2" s="15"/>
      <c r="L2" s="15"/>
      <c r="M2" s="15"/>
      <c r="N2" s="15"/>
      <c r="O2" s="15"/>
      <c r="P2" s="15"/>
      <c r="Q2" s="15"/>
      <c r="R2" s="15"/>
      <c r="S2" s="15"/>
      <c r="T2" s="15"/>
      <c r="U2" s="15"/>
      <c r="V2" s="15"/>
      <c r="W2" s="15"/>
      <c r="X2" s="15"/>
      <c r="Y2" s="15"/>
      <c r="Z2" s="15"/>
      <c r="AA2" s="15"/>
    </row>
    <row r="3" spans="1:29" x14ac:dyDescent="0.25">
      <c r="A3" t="s">
        <v>5</v>
      </c>
      <c r="B3" s="16">
        <v>5053.4743107269996</v>
      </c>
      <c r="G3" s="24">
        <v>2.39</v>
      </c>
      <c r="H3" s="10">
        <f t="shared" ref="H3:H11" si="0">H2*(1+G3/100)</f>
        <v>1.0239</v>
      </c>
      <c r="I3" s="10">
        <f>H3/H$8*I$8</f>
        <v>0.91001365562444558</v>
      </c>
      <c r="J3" s="16">
        <f t="shared" ref="J3:J10" si="1">B3/I3</f>
        <v>5553.1851412266315</v>
      </c>
      <c r="K3" s="7"/>
      <c r="O3">
        <v>382.6</v>
      </c>
      <c r="R3" s="6">
        <f t="shared" ref="R3:R10" si="2">O3/I3</f>
        <v>420.43325134221459</v>
      </c>
      <c r="T3" s="16">
        <f t="shared" ref="T3:T10" si="3">R3*1000-J3</f>
        <v>414880.06620098796</v>
      </c>
      <c r="W3" s="25">
        <v>1489.5150000000001</v>
      </c>
      <c r="Z3" s="36">
        <f t="shared" ref="Z3:Z10" si="4">(B3/1000)/W3</f>
        <v>3.3926978316613119E-3</v>
      </c>
      <c r="AA3" s="3">
        <f t="shared" ref="AA3:AA9" si="5">B3/O3/1000</f>
        <v>1.3208244408591217E-2</v>
      </c>
    </row>
    <row r="4" spans="1:29" x14ac:dyDescent="0.25">
      <c r="A4" t="s">
        <v>4</v>
      </c>
      <c r="B4" s="37">
        <v>5048.8999999999996</v>
      </c>
      <c r="C4" s="7">
        <f t="shared" ref="C4:C9" si="6">B4-B3</f>
        <v>-4.574310727000011</v>
      </c>
      <c r="D4" s="7">
        <f>B4-B3</f>
        <v>-4.574310727000011</v>
      </c>
      <c r="E4" s="5">
        <f t="shared" ref="E4:E9" si="7">B4/B3-1</f>
        <v>-9.0518135558548263E-4</v>
      </c>
      <c r="F4" s="5">
        <f t="shared" ref="F4:F9" si="8">D4/B$3</f>
        <v>-9.0518135558542983E-4</v>
      </c>
      <c r="G4" s="24">
        <v>3.02</v>
      </c>
      <c r="H4" s="10">
        <f t="shared" si="0"/>
        <v>1.0548217799999999</v>
      </c>
      <c r="I4" s="10">
        <f>H4/H$8*I$8</f>
        <v>0.93749606802430374</v>
      </c>
      <c r="J4" s="16">
        <f t="shared" si="1"/>
        <v>5385.5159207655597</v>
      </c>
      <c r="K4" s="7">
        <f t="shared" ref="K4:K9" si="9">J4-J3</f>
        <v>-167.66922046107175</v>
      </c>
      <c r="L4" s="7">
        <f>J4-J3</f>
        <v>-167.66922046107175</v>
      </c>
      <c r="M4" s="5">
        <f t="shared" ref="M4:M10" si="10">L4/J$3</f>
        <v>-3.0193342414662525E-2</v>
      </c>
      <c r="N4" s="5">
        <f t="shared" ref="N4:N9" si="11">J4/J3-1</f>
        <v>-3.0193342414662538E-2</v>
      </c>
      <c r="O4">
        <v>413.8</v>
      </c>
      <c r="Q4" s="5">
        <f>O4/O3-1</f>
        <v>8.1547307893361287E-2</v>
      </c>
      <c r="R4" s="6">
        <f t="shared" si="2"/>
        <v>441.38851789751999</v>
      </c>
      <c r="S4" s="5">
        <f>R4/R3-1</f>
        <v>4.9842077163037457E-2</v>
      </c>
      <c r="T4" s="16">
        <f t="shared" si="3"/>
        <v>436003.0019767544</v>
      </c>
      <c r="U4" s="16">
        <f t="shared" ref="U4:U9" si="12">T4-T3</f>
        <v>21122.93577576644</v>
      </c>
      <c r="V4" s="8">
        <f t="shared" ref="V4:V10" si="13">T4/T$3-1</f>
        <v>5.0913354235567088E-2</v>
      </c>
      <c r="W4" s="25">
        <v>1548.126</v>
      </c>
      <c r="Z4" s="36">
        <f t="shared" si="4"/>
        <v>3.2612978530171316E-3</v>
      </c>
      <c r="AA4" s="3">
        <f t="shared" si="5"/>
        <v>1.2201304978250361E-2</v>
      </c>
    </row>
    <row r="5" spans="1:29" x14ac:dyDescent="0.25">
      <c r="A5" t="s">
        <v>45</v>
      </c>
      <c r="B5" s="37">
        <v>5027.8999999999996</v>
      </c>
      <c r="C5">
        <f t="shared" si="6"/>
        <v>-21</v>
      </c>
      <c r="D5" s="7">
        <f t="shared" ref="D5:D9" si="14">B5-B$3</f>
        <v>-25.574310727000011</v>
      </c>
      <c r="E5" s="5">
        <f t="shared" si="7"/>
        <v>-4.1593218324783576E-3</v>
      </c>
      <c r="F5" s="5">
        <f t="shared" si="8"/>
        <v>-5.0607382474891528E-3</v>
      </c>
      <c r="G5" s="27">
        <v>1.51</v>
      </c>
      <c r="H5" s="10">
        <f t="shared" si="0"/>
        <v>1.0707495888779999</v>
      </c>
      <c r="I5" s="10">
        <f>H5/H$8*I$8</f>
        <v>0.95165225865147063</v>
      </c>
      <c r="J5" s="16">
        <f t="shared" si="1"/>
        <v>5283.3374315999999</v>
      </c>
      <c r="K5" s="7">
        <f t="shared" si="9"/>
        <v>-102.17848916555977</v>
      </c>
      <c r="L5" s="7">
        <f t="shared" ref="L5:L9" si="15">J5-J$3</f>
        <v>-269.84770962663151</v>
      </c>
      <c r="M5" s="5">
        <f t="shared" si="10"/>
        <v>-4.8593321267697803E-2</v>
      </c>
      <c r="N5" s="3">
        <f t="shared" si="11"/>
        <v>-1.8972832068247736E-2</v>
      </c>
      <c r="O5">
        <v>420.3</v>
      </c>
      <c r="P5">
        <v>24.611999999999998</v>
      </c>
      <c r="Q5" s="5">
        <f>O5/O3-1</f>
        <v>9.8536330371144842E-2</v>
      </c>
      <c r="R5" s="6">
        <f t="shared" si="2"/>
        <v>441.65292120000004</v>
      </c>
      <c r="S5" s="5">
        <f>R5/R3-1</f>
        <v>5.0470960110891694E-2</v>
      </c>
      <c r="T5" s="16">
        <f t="shared" si="3"/>
        <v>436369.58376840001</v>
      </c>
      <c r="U5" s="16">
        <f t="shared" si="12"/>
        <v>366.58179164561443</v>
      </c>
      <c r="V5" s="8">
        <f t="shared" si="13"/>
        <v>5.1796939207490178E-2</v>
      </c>
      <c r="W5" s="25">
        <v>1583.473</v>
      </c>
      <c r="Z5" s="36">
        <f t="shared" si="4"/>
        <v>3.1752357002613873E-3</v>
      </c>
      <c r="AA5" s="3">
        <f t="shared" si="5"/>
        <v>1.1962645729241017E-2</v>
      </c>
      <c r="AB5" s="5">
        <f t="shared" ref="AB5:AB9" si="16">P5/O5</f>
        <v>5.8558172733761592E-2</v>
      </c>
      <c r="AC5" s="5">
        <f t="shared" ref="AC5:AC9" si="17">(O5-B5/1000-P5)/O5</f>
        <v>0.92947918153699738</v>
      </c>
    </row>
    <row r="6" spans="1:29" x14ac:dyDescent="0.25">
      <c r="A6" t="s">
        <v>44</v>
      </c>
      <c r="B6" s="16">
        <v>4052</v>
      </c>
      <c r="C6">
        <f t="shared" si="6"/>
        <v>-975.89999999999964</v>
      </c>
      <c r="D6" s="7">
        <f t="shared" si="14"/>
        <v>-1001.4743107269996</v>
      </c>
      <c r="E6" s="5">
        <f t="shared" si="7"/>
        <v>-0.19409693907993386</v>
      </c>
      <c r="F6" s="5">
        <f t="shared" si="8"/>
        <v>-0.19817540352410068</v>
      </c>
      <c r="G6" s="38">
        <v>1</v>
      </c>
      <c r="H6" s="10">
        <f t="shared" si="0"/>
        <v>1.0814570847667799</v>
      </c>
      <c r="I6" s="10">
        <f>H6/H$8*I$8</f>
        <v>0.96116878123798544</v>
      </c>
      <c r="J6" s="16">
        <f t="shared" si="1"/>
        <v>4215.7007999999996</v>
      </c>
      <c r="K6" s="7">
        <f t="shared" si="9"/>
        <v>-1067.6366316000003</v>
      </c>
      <c r="L6" s="7">
        <f t="shared" si="15"/>
        <v>-1337.4843412266318</v>
      </c>
      <c r="M6" s="14">
        <f t="shared" si="10"/>
        <v>-0.24084994597014242</v>
      </c>
      <c r="N6" s="3">
        <f t="shared" si="11"/>
        <v>-0.20207617730686533</v>
      </c>
      <c r="O6" s="27">
        <v>431.5</v>
      </c>
      <c r="P6" s="27">
        <v>25.986000000000001</v>
      </c>
      <c r="Q6" s="5">
        <f>O6/O3-1</f>
        <v>0.12780972294824866</v>
      </c>
      <c r="R6" s="6">
        <f t="shared" si="2"/>
        <v>448.93259999999998</v>
      </c>
      <c r="S6" s="5">
        <f>R6/R3-1</f>
        <v>6.7785667681617756E-2</v>
      </c>
      <c r="T6" s="16">
        <f t="shared" si="3"/>
        <v>444716.89919999999</v>
      </c>
      <c r="U6" s="16">
        <f t="shared" si="12"/>
        <v>8347.3154315999709</v>
      </c>
      <c r="V6" s="8">
        <f t="shared" si="13"/>
        <v>7.1916766867650805E-2</v>
      </c>
      <c r="W6" s="25">
        <v>1624.211</v>
      </c>
      <c r="X6">
        <v>2.6</v>
      </c>
      <c r="Y6" s="27">
        <v>2.2999999999999998</v>
      </c>
      <c r="Z6" s="1">
        <f t="shared" si="4"/>
        <v>2.494749758498126E-3</v>
      </c>
      <c r="AA6" s="3">
        <f t="shared" si="5"/>
        <v>9.3904982618771733E-3</v>
      </c>
      <c r="AB6" s="5">
        <f t="shared" si="16"/>
        <v>6.0222479721900347E-2</v>
      </c>
      <c r="AC6" s="5">
        <f t="shared" si="17"/>
        <v>0.93038702201622248</v>
      </c>
    </row>
    <row r="7" spans="1:29" x14ac:dyDescent="0.25">
      <c r="A7" t="s">
        <v>43</v>
      </c>
      <c r="B7" s="16">
        <v>3828</v>
      </c>
      <c r="C7">
        <f t="shared" si="6"/>
        <v>-224</v>
      </c>
      <c r="D7" s="7">
        <f t="shared" si="14"/>
        <v>-1225.4743107269996</v>
      </c>
      <c r="E7" s="5">
        <f t="shared" si="7"/>
        <v>-5.5281342546890433E-2</v>
      </c>
      <c r="F7" s="5">
        <f t="shared" si="8"/>
        <v>-0.24250134370440704</v>
      </c>
      <c r="G7" s="38">
        <v>2</v>
      </c>
      <c r="H7" s="10">
        <f t="shared" si="0"/>
        <v>1.1030862264621155</v>
      </c>
      <c r="I7" s="10">
        <f>H7/H$8*I$8</f>
        <v>0.98039215686274517</v>
      </c>
      <c r="J7" s="16">
        <f t="shared" si="1"/>
        <v>3904.56</v>
      </c>
      <c r="K7" s="7">
        <f t="shared" si="9"/>
        <v>-311.14079999999967</v>
      </c>
      <c r="L7" s="7">
        <f t="shared" si="15"/>
        <v>-1648.6251412266315</v>
      </c>
      <c r="M7" s="5">
        <f t="shared" si="10"/>
        <v>-0.29687919622691888</v>
      </c>
      <c r="N7" s="5">
        <f t="shared" si="11"/>
        <v>-7.3805237791068956E-2</v>
      </c>
      <c r="O7" s="39">
        <v>450.75700000000001</v>
      </c>
      <c r="P7" s="27">
        <v>28.463999999999999</v>
      </c>
      <c r="Q7" s="5">
        <f>O7/O3-1</f>
        <v>0.17814166231050699</v>
      </c>
      <c r="R7" s="6">
        <f t="shared" si="2"/>
        <v>459.77213999999998</v>
      </c>
      <c r="S7" s="5">
        <f>R7/R3-1</f>
        <v>9.3567500981898366E-2</v>
      </c>
      <c r="T7" s="16">
        <f t="shared" si="3"/>
        <v>455867.57999999996</v>
      </c>
      <c r="U7" s="16">
        <f t="shared" si="12"/>
        <v>11150.680799999973</v>
      </c>
      <c r="V7" s="8">
        <f t="shared" si="13"/>
        <v>9.8793644568972105E-2</v>
      </c>
      <c r="W7" s="17">
        <f>W6*(1+Y7/100)</f>
        <v>1721.6636600000002</v>
      </c>
      <c r="X7">
        <v>1.75</v>
      </c>
      <c r="Y7" s="27">
        <v>6</v>
      </c>
      <c r="Z7" s="1">
        <f t="shared" si="4"/>
        <v>2.2234307948394518E-3</v>
      </c>
      <c r="AA7" s="3">
        <f t="shared" si="5"/>
        <v>8.4923805953096669E-3</v>
      </c>
      <c r="AB7" s="5">
        <f t="shared" si="16"/>
        <v>6.3147105868572195E-2</v>
      </c>
      <c r="AC7" s="5">
        <f t="shared" si="17"/>
        <v>0.92836051353611815</v>
      </c>
    </row>
    <row r="8" spans="1:29" x14ac:dyDescent="0.25">
      <c r="A8" t="s">
        <v>42</v>
      </c>
      <c r="B8" s="16">
        <v>3912</v>
      </c>
      <c r="C8">
        <f t="shared" si="6"/>
        <v>84</v>
      </c>
      <c r="D8" s="7">
        <f t="shared" si="14"/>
        <v>-1141.4743107269996</v>
      </c>
      <c r="E8" s="5">
        <f t="shared" si="7"/>
        <v>2.1943573667711602E-2</v>
      </c>
      <c r="F8" s="5">
        <f t="shared" si="8"/>
        <v>-0.22587911613679215</v>
      </c>
      <c r="G8" s="38">
        <v>2</v>
      </c>
      <c r="H8" s="10">
        <f t="shared" si="0"/>
        <v>1.1251479509913578</v>
      </c>
      <c r="I8" s="26">
        <v>1</v>
      </c>
      <c r="J8" s="16">
        <f t="shared" si="1"/>
        <v>3912</v>
      </c>
      <c r="K8" s="7">
        <f t="shared" si="9"/>
        <v>7.4400000000000546</v>
      </c>
      <c r="L8" s="7">
        <f t="shared" si="15"/>
        <v>-1641.1851412266315</v>
      </c>
      <c r="M8" s="5">
        <f t="shared" si="10"/>
        <v>-0.29553942458041538</v>
      </c>
      <c r="N8" s="5">
        <f t="shared" si="11"/>
        <v>1.9054643801095228E-3</v>
      </c>
      <c r="O8" s="39">
        <v>464.8</v>
      </c>
      <c r="P8" s="27">
        <v>30.050999999999998</v>
      </c>
      <c r="Q8" s="5">
        <f>O8/O3-1</f>
        <v>0.21484579194981701</v>
      </c>
      <c r="R8" s="6">
        <f t="shared" si="2"/>
        <v>464.8</v>
      </c>
      <c r="S8" s="5">
        <f>R8/R3-1</f>
        <v>0.10552626015222755</v>
      </c>
      <c r="T8" s="16">
        <f t="shared" si="3"/>
        <v>460888</v>
      </c>
      <c r="U8" s="16">
        <f t="shared" si="12"/>
        <v>5020.4200000000419</v>
      </c>
      <c r="V8" s="8">
        <f t="shared" si="13"/>
        <v>0.11089453928288662</v>
      </c>
      <c r="W8" s="17">
        <f>W7*(1+Y8/100)</f>
        <v>1790.5302064000002</v>
      </c>
      <c r="X8">
        <v>2.75</v>
      </c>
      <c r="Y8" s="27">
        <v>4</v>
      </c>
      <c r="Z8" s="1">
        <f t="shared" si="4"/>
        <v>2.184827704116413E-3</v>
      </c>
      <c r="AA8" s="3">
        <f t="shared" si="5"/>
        <v>8.4165232358003449E-3</v>
      </c>
      <c r="AB8" s="5">
        <f t="shared" si="16"/>
        <v>6.4653614457831327E-2</v>
      </c>
      <c r="AC8" s="5">
        <f t="shared" si="17"/>
        <v>0.92692986230636842</v>
      </c>
    </row>
    <row r="9" spans="1:29" x14ac:dyDescent="0.25">
      <c r="A9" t="s">
        <v>84</v>
      </c>
      <c r="B9" s="16">
        <v>4010</v>
      </c>
      <c r="C9">
        <f t="shared" si="6"/>
        <v>98</v>
      </c>
      <c r="D9" s="7">
        <f t="shared" si="14"/>
        <v>-1043.4743107269996</v>
      </c>
      <c r="E9" s="5">
        <f t="shared" si="7"/>
        <v>2.5051124744376319E-2</v>
      </c>
      <c r="F9" s="5">
        <f t="shared" si="8"/>
        <v>-0.20648651730790812</v>
      </c>
      <c r="G9" s="27">
        <v>2.25</v>
      </c>
      <c r="H9" s="10">
        <f t="shared" si="0"/>
        <v>1.1504637798886632</v>
      </c>
      <c r="I9" s="10">
        <f>H9/H$8*I$8</f>
        <v>1.0225</v>
      </c>
      <c r="J9" s="16">
        <f t="shared" si="1"/>
        <v>3921.7603911980441</v>
      </c>
      <c r="K9" s="7">
        <f t="shared" si="9"/>
        <v>9.7603911980440898</v>
      </c>
      <c r="L9" s="7">
        <f t="shared" si="15"/>
        <v>-1631.4247500285874</v>
      </c>
      <c r="M9" s="5">
        <f t="shared" si="10"/>
        <v>-0.29378180423284528</v>
      </c>
      <c r="N9" s="5">
        <f t="shared" si="11"/>
        <v>2.4949875250623865E-3</v>
      </c>
      <c r="O9" s="38">
        <v>486.863</v>
      </c>
      <c r="P9" s="27">
        <v>29.876999999999999</v>
      </c>
      <c r="Q9" s="5">
        <f>O9/O3-1</f>
        <v>0.27251176163094604</v>
      </c>
      <c r="R9" s="6">
        <f t="shared" si="2"/>
        <v>476.14963325183373</v>
      </c>
      <c r="S9" s="5">
        <f>R9/R3-1</f>
        <v>0.13252134965954054</v>
      </c>
      <c r="T9" s="16">
        <f t="shared" si="3"/>
        <v>472227.87286063569</v>
      </c>
      <c r="U9" s="16">
        <f t="shared" si="12"/>
        <v>11339.872860635689</v>
      </c>
      <c r="V9" s="8">
        <f t="shared" si="13"/>
        <v>0.13822743325504994</v>
      </c>
      <c r="W9" s="17">
        <f>W8*(1+Y9/100)</f>
        <v>1862.1514146560003</v>
      </c>
      <c r="X9">
        <v>3</v>
      </c>
      <c r="Y9" s="27">
        <v>4</v>
      </c>
      <c r="Z9" s="1">
        <f t="shared" si="4"/>
        <v>2.1534231687280795E-3</v>
      </c>
      <c r="AA9" s="3">
        <f t="shared" si="5"/>
        <v>8.2364032592330896E-3</v>
      </c>
      <c r="AB9" s="5">
        <f t="shared" si="16"/>
        <v>6.1366339196036665E-2</v>
      </c>
      <c r="AC9" s="5">
        <f t="shared" si="17"/>
        <v>0.93039725754473024</v>
      </c>
    </row>
    <row r="10" spans="1:29" x14ac:dyDescent="0.25">
      <c r="A10" t="s">
        <v>138</v>
      </c>
      <c r="B10" s="16">
        <v>4010</v>
      </c>
      <c r="C10" s="16">
        <f>B10-B9</f>
        <v>0</v>
      </c>
      <c r="D10" s="7">
        <f t="shared" ref="D10:D11" si="18">B10-B$3</f>
        <v>-1043.4743107269996</v>
      </c>
      <c r="E10" s="5">
        <f>B10/B9-1</f>
        <v>0</v>
      </c>
      <c r="F10" s="5">
        <f t="shared" ref="F10" si="19">D10/B$3</f>
        <v>-0.20648651730790812</v>
      </c>
      <c r="G10" s="13">
        <v>2.5</v>
      </c>
      <c r="H10" s="10">
        <f t="shared" si="0"/>
        <v>1.1792253743858796</v>
      </c>
      <c r="I10" s="10">
        <f>H10/H$8*I$8</f>
        <v>1.0480624999999997</v>
      </c>
      <c r="J10" s="16">
        <f t="shared" si="1"/>
        <v>3826.1076987298002</v>
      </c>
      <c r="K10" s="7">
        <f>J10-J9</f>
        <v>-95.652692468243913</v>
      </c>
      <c r="L10" s="7">
        <f t="shared" ref="L10" si="20">J10-J$3</f>
        <v>-1727.0774424968313</v>
      </c>
      <c r="M10" s="5">
        <f t="shared" si="10"/>
        <v>-0.31100663827594638</v>
      </c>
      <c r="N10" s="5">
        <f>J10/J9-1</f>
        <v>-2.4390243902438713E-2</v>
      </c>
      <c r="O10" s="38">
        <v>503.19799999999998</v>
      </c>
      <c r="P10" s="27">
        <v>31.707999999999998</v>
      </c>
      <c r="Q10" s="5">
        <f>O10/O3-1</f>
        <v>0.31520648196549916</v>
      </c>
      <c r="R10" s="6">
        <f t="shared" si="2"/>
        <v>480.12213012105684</v>
      </c>
      <c r="S10" s="5">
        <f>R10/R3-1</f>
        <v>0.14196992884908166</v>
      </c>
      <c r="T10" s="16">
        <f t="shared" si="3"/>
        <v>476296.02242232708</v>
      </c>
      <c r="U10" s="16">
        <f>T10-T9</f>
        <v>4068.149561691389</v>
      </c>
      <c r="V10" s="8">
        <f t="shared" si="13"/>
        <v>0.14803303707434878</v>
      </c>
      <c r="W10" s="17">
        <f>W9*(1+Y10/100)</f>
        <v>1945.9482283155201</v>
      </c>
      <c r="X10">
        <v>3</v>
      </c>
      <c r="Y10" s="27">
        <v>4.5</v>
      </c>
      <c r="Z10" s="1">
        <f t="shared" si="4"/>
        <v>2.0606920274909854E-3</v>
      </c>
      <c r="AA10" s="3">
        <f t="shared" ref="AA10" si="21">B10/O10/1000</f>
        <v>7.9690300835853888E-3</v>
      </c>
      <c r="AB10" s="5">
        <f t="shared" ref="AB10" si="22">P10/O10</f>
        <v>6.3012969049956472E-2</v>
      </c>
      <c r="AC10" s="5">
        <f t="shared" ref="AC10" si="23">(O10-B10/1000-P10)/O10</f>
        <v>0.92901800086645825</v>
      </c>
    </row>
    <row r="11" spans="1:29" x14ac:dyDescent="0.25">
      <c r="A11" t="s">
        <v>178</v>
      </c>
      <c r="B11" s="16">
        <v>4010</v>
      </c>
      <c r="C11" s="16">
        <f>B11-B10</f>
        <v>0</v>
      </c>
      <c r="D11" s="7">
        <f t="shared" si="18"/>
        <v>-1043.4743107269996</v>
      </c>
      <c r="E11" s="5">
        <f>B11/B10-1</f>
        <v>0</v>
      </c>
      <c r="F11" s="5">
        <f t="shared" ref="F11" si="24">D11/B$3</f>
        <v>-0.20648651730790812</v>
      </c>
      <c r="G11" s="13">
        <v>2.5</v>
      </c>
      <c r="H11" s="10">
        <f t="shared" si="0"/>
        <v>1.2087060087455266</v>
      </c>
      <c r="I11" s="10">
        <f>H11/H$8*I$8</f>
        <v>1.0742640624999997</v>
      </c>
      <c r="J11" s="16">
        <f t="shared" ref="J11" si="25">B11/I11</f>
        <v>3732.7879987607803</v>
      </c>
      <c r="K11" s="7">
        <f>J11-J10</f>
        <v>-93.319699969019894</v>
      </c>
      <c r="L11" s="7">
        <f t="shared" ref="L11" si="26">J11-J$3</f>
        <v>-1820.3971424658512</v>
      </c>
      <c r="M11" s="5">
        <f t="shared" ref="M11" si="27">L11/J$3</f>
        <v>-0.32781135441555753</v>
      </c>
      <c r="N11" s="5">
        <f>J11/J10-1</f>
        <v>-2.4390243902439157E-2</v>
      </c>
      <c r="O11" s="38">
        <v>522.90700000000004</v>
      </c>
      <c r="P11" s="27">
        <v>33.865000000000002</v>
      </c>
      <c r="Q11" s="5">
        <f>O11/O3-1</f>
        <v>0.36671981181390478</v>
      </c>
      <c r="R11" s="6">
        <f t="shared" ref="R11" si="28">O11/I11</f>
        <v>486.75834764788118</v>
      </c>
      <c r="S11" s="5">
        <f>R11/R3-1</f>
        <v>0.15775416452891555</v>
      </c>
      <c r="T11" s="16">
        <f t="shared" ref="T11" si="29">R11*1000-J11</f>
        <v>483025.55964912043</v>
      </c>
      <c r="U11" s="16">
        <f>T11-T10</f>
        <v>6729.5372267933562</v>
      </c>
      <c r="V11" s="8">
        <f t="shared" ref="V11" si="30">T11/T$3-1</f>
        <v>0.16425347708829063</v>
      </c>
      <c r="W11" s="17">
        <f>W10*(1+Y11/100)</f>
        <v>2038.3807691605075</v>
      </c>
      <c r="X11">
        <v>3</v>
      </c>
      <c r="Y11" s="27">
        <v>4.75</v>
      </c>
      <c r="Z11" s="1">
        <f t="shared" ref="Z11" si="31">(B11/1000)/W11</f>
        <v>1.9672477589412745E-3</v>
      </c>
      <c r="AA11" s="3">
        <f t="shared" ref="AA11" si="32">B11/O11/1000</f>
        <v>7.6686676598324358E-3</v>
      </c>
      <c r="AB11" s="5">
        <f t="shared" ref="AB11" si="33">P11/O11</f>
        <v>6.4762950199557467E-2</v>
      </c>
      <c r="AC11" s="5">
        <f t="shared" ref="AC11" si="34">(O11-B11/1000-P11)/O11</f>
        <v>0.9275683821406101</v>
      </c>
    </row>
    <row r="12" spans="1:29" x14ac:dyDescent="0.25">
      <c r="G12" s="19">
        <f>H8</f>
        <v>1.1251479509913578</v>
      </c>
      <c r="H12" s="9" t="s">
        <v>179</v>
      </c>
    </row>
    <row r="13" spans="1:29" x14ac:dyDescent="0.25">
      <c r="J13" s="5">
        <f>J11/J7-1</f>
        <v>-4.399266530395729E-2</v>
      </c>
    </row>
    <row r="17" spans="1:1" x14ac:dyDescent="0.25">
      <c r="A17" s="9" t="s">
        <v>54</v>
      </c>
    </row>
    <row r="19" spans="1:1" x14ac:dyDescent="0.25">
      <c r="A19" s="23" t="s">
        <v>109</v>
      </c>
    </row>
    <row r="20" spans="1:1" x14ac:dyDescent="0.25">
      <c r="A20" s="30" t="s">
        <v>177</v>
      </c>
    </row>
    <row r="21" spans="1:1" x14ac:dyDescent="0.25">
      <c r="A21" s="30" t="s">
        <v>151</v>
      </c>
    </row>
    <row r="22" spans="1:1" x14ac:dyDescent="0.25">
      <c r="A22" s="30" t="s">
        <v>152</v>
      </c>
    </row>
    <row r="23" spans="1:1" x14ac:dyDescent="0.25">
      <c r="A23" t="s">
        <v>150</v>
      </c>
    </row>
    <row r="24" spans="1:1" x14ac:dyDescent="0.25">
      <c r="A24" s="4" t="s">
        <v>86</v>
      </c>
    </row>
    <row r="25" spans="1:1" x14ac:dyDescent="0.25">
      <c r="A25" s="4"/>
    </row>
    <row r="26" spans="1:1" x14ac:dyDescent="0.25">
      <c r="A26" s="23" t="s">
        <v>153</v>
      </c>
    </row>
    <row r="27" spans="1:1" x14ac:dyDescent="0.25">
      <c r="A27" t="s">
        <v>154</v>
      </c>
    </row>
    <row r="28" spans="1:1" x14ac:dyDescent="0.25">
      <c r="A28" t="s">
        <v>155</v>
      </c>
    </row>
    <row r="29" spans="1:1" x14ac:dyDescent="0.25">
      <c r="A29" s="4"/>
    </row>
    <row r="30" spans="1:1" x14ac:dyDescent="0.25">
      <c r="A30" s="23" t="s">
        <v>110</v>
      </c>
    </row>
    <row r="31" spans="1:1" x14ac:dyDescent="0.25">
      <c r="A31" t="s">
        <v>156</v>
      </c>
    </row>
    <row r="32" spans="1:1" x14ac:dyDescent="0.25">
      <c r="A32" s="4"/>
    </row>
    <row r="33" spans="1:2" x14ac:dyDescent="0.25">
      <c r="A33" t="s">
        <v>174</v>
      </c>
    </row>
    <row r="34" spans="1:2" x14ac:dyDescent="0.25">
      <c r="A34" t="s">
        <v>4</v>
      </c>
      <c r="B34" t="s">
        <v>175</v>
      </c>
    </row>
    <row r="35" spans="1:2" x14ac:dyDescent="0.25">
      <c r="A35" t="s">
        <v>45</v>
      </c>
      <c r="B35" t="s">
        <v>176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D29" sqref="D29"/>
    </sheetView>
  </sheetViews>
  <sheetFormatPr defaultRowHeight="15" x14ac:dyDescent="0.25"/>
  <cols>
    <col min="1" max="1" width="9.7109375" bestFit="1" customWidth="1"/>
    <col min="2" max="2" width="11.85546875" bestFit="1" customWidth="1"/>
    <col min="3" max="3" width="16.7109375" customWidth="1"/>
    <col min="4" max="4" width="12.7109375" customWidth="1"/>
    <col min="7" max="7" width="9.85546875" bestFit="1" customWidth="1"/>
  </cols>
  <sheetData>
    <row r="1" spans="1:11" x14ac:dyDescent="0.25">
      <c r="A1" t="s">
        <v>111</v>
      </c>
    </row>
    <row r="3" spans="1:11" ht="45" x14ac:dyDescent="0.25">
      <c r="A3" s="9" t="s">
        <v>0</v>
      </c>
      <c r="B3" s="28" t="s">
        <v>112</v>
      </c>
      <c r="C3" s="28" t="s">
        <v>113</v>
      </c>
      <c r="D3" s="28" t="s">
        <v>114</v>
      </c>
    </row>
    <row r="4" spans="1:11" x14ac:dyDescent="0.25">
      <c r="A4" t="s">
        <v>115</v>
      </c>
      <c r="B4" s="16">
        <f>'ODA-GNI time series'!B45</f>
        <v>1556.5</v>
      </c>
      <c r="C4" s="16">
        <v>131966</v>
      </c>
      <c r="D4" s="3">
        <f>B4/C4</f>
        <v>1.1794704696664292E-2</v>
      </c>
      <c r="E4" s="5"/>
      <c r="F4" s="5"/>
      <c r="G4" s="8"/>
      <c r="H4" s="16"/>
      <c r="K4" s="16"/>
    </row>
    <row r="5" spans="1:11" x14ac:dyDescent="0.25">
      <c r="A5" t="s">
        <v>116</v>
      </c>
      <c r="B5" s="16">
        <f>'ODA-GNI time series'!B46</f>
        <v>1432</v>
      </c>
      <c r="C5" s="16">
        <v>145821</v>
      </c>
      <c r="D5" s="3">
        <f t="shared" ref="D5:D29" si="0">B5/C5</f>
        <v>9.8202590847683117E-3</v>
      </c>
      <c r="E5" s="5"/>
      <c r="F5" s="5"/>
      <c r="G5" s="8"/>
      <c r="H5" s="16"/>
      <c r="K5" s="16"/>
    </row>
    <row r="6" spans="1:11" x14ac:dyDescent="0.25">
      <c r="A6" t="s">
        <v>117</v>
      </c>
      <c r="B6" s="16">
        <f>'ODA-GNI time series'!B47</f>
        <v>1443</v>
      </c>
      <c r="C6" s="16">
        <v>148652</v>
      </c>
      <c r="D6" s="3">
        <f t="shared" si="0"/>
        <v>9.7072356914135027E-3</v>
      </c>
      <c r="E6" s="5"/>
      <c r="F6" s="5"/>
      <c r="G6" s="8"/>
      <c r="H6" s="16"/>
      <c r="K6" s="16"/>
    </row>
    <row r="7" spans="1:11" x14ac:dyDescent="0.25">
      <c r="A7" t="s">
        <v>118</v>
      </c>
      <c r="B7" s="16">
        <f>'ODA-GNI time series'!B48</f>
        <v>1528.6</v>
      </c>
      <c r="C7" s="16">
        <v>146772</v>
      </c>
      <c r="D7" s="3">
        <f t="shared" si="0"/>
        <v>1.0414793012291172E-2</v>
      </c>
      <c r="E7" s="5"/>
      <c r="F7" s="5"/>
      <c r="G7" s="8"/>
      <c r="H7" s="16"/>
      <c r="K7" s="16"/>
    </row>
    <row r="8" spans="1:11" x14ac:dyDescent="0.25">
      <c r="A8" t="s">
        <v>31</v>
      </c>
      <c r="B8" s="16">
        <f>'ODA-GNI time series'!B49</f>
        <v>1748.7</v>
      </c>
      <c r="C8" s="16">
        <v>155558</v>
      </c>
      <c r="D8" s="3">
        <f t="shared" si="0"/>
        <v>1.1241466205531056E-2</v>
      </c>
      <c r="E8" s="5"/>
      <c r="F8" s="5"/>
      <c r="G8" s="8"/>
      <c r="H8" s="16"/>
      <c r="K8" s="16"/>
    </row>
    <row r="9" spans="1:11" x14ac:dyDescent="0.25">
      <c r="A9" t="s">
        <v>119</v>
      </c>
      <c r="B9" s="16">
        <f>'ODA-GNI time series'!B50</f>
        <v>1623.1</v>
      </c>
      <c r="C9" s="16">
        <v>180094</v>
      </c>
      <c r="D9" s="3">
        <f t="shared" si="0"/>
        <v>9.0125156862527339E-3</v>
      </c>
      <c r="E9" s="5"/>
      <c r="F9" s="5"/>
      <c r="G9" s="8"/>
      <c r="H9" s="16"/>
      <c r="K9" s="16"/>
    </row>
    <row r="10" spans="1:11" x14ac:dyDescent="0.25">
      <c r="A10" t="s">
        <v>120</v>
      </c>
      <c r="B10" s="16">
        <f>'ODA-GNI time series'!B51</f>
        <v>1755.1</v>
      </c>
      <c r="C10" s="16">
        <v>193041</v>
      </c>
      <c r="D10" s="3">
        <f t="shared" si="0"/>
        <v>9.0918509539424271E-3</v>
      </c>
      <c r="E10" s="5"/>
      <c r="F10" s="5"/>
      <c r="G10" s="8"/>
      <c r="H10" s="16"/>
      <c r="K10" s="16"/>
    </row>
    <row r="11" spans="1:11" x14ac:dyDescent="0.25">
      <c r="A11" t="s">
        <v>121</v>
      </c>
      <c r="B11" s="16">
        <f>'ODA-GNI time series'!B52</f>
        <v>1830.8</v>
      </c>
      <c r="C11" s="16">
        <v>201259</v>
      </c>
      <c r="D11" s="3">
        <f t="shared" si="0"/>
        <v>9.0967360465867356E-3</v>
      </c>
      <c r="E11" s="5"/>
      <c r="F11" s="5"/>
      <c r="G11" s="8"/>
      <c r="H11" s="16"/>
      <c r="K11" s="16"/>
    </row>
    <row r="12" spans="1:11" x14ac:dyDescent="0.25">
      <c r="A12" t="s">
        <v>122</v>
      </c>
      <c r="B12" s="16">
        <f>'ODA-GNI time series'!B53</f>
        <v>1973.1</v>
      </c>
      <c r="C12" s="16">
        <v>215361</v>
      </c>
      <c r="D12" s="3">
        <f t="shared" si="0"/>
        <v>9.1618259573460377E-3</v>
      </c>
      <c r="E12" s="5"/>
      <c r="F12" s="5"/>
      <c r="G12" s="8"/>
      <c r="H12" s="16"/>
      <c r="K12" s="16"/>
    </row>
    <row r="13" spans="1:11" x14ac:dyDescent="0.25">
      <c r="A13" t="s">
        <v>123</v>
      </c>
      <c r="B13" s="16">
        <f>'ODA-GNI time series'!B54</f>
        <v>2198.1</v>
      </c>
      <c r="C13" s="16">
        <v>229245</v>
      </c>
      <c r="D13" s="3">
        <f t="shared" si="0"/>
        <v>9.588431590656284E-3</v>
      </c>
      <c r="E13" s="5"/>
      <c r="F13" s="5"/>
      <c r="G13" s="8"/>
      <c r="H13" s="16"/>
      <c r="K13" s="16"/>
    </row>
    <row r="14" spans="1:11" x14ac:dyDescent="0.25">
      <c r="A14" t="s">
        <v>124</v>
      </c>
      <c r="B14" s="16">
        <f>'ODA-GNI time series'!B55</f>
        <v>2683.5008565621001</v>
      </c>
      <c r="C14" s="16">
        <v>242334</v>
      </c>
      <c r="D14" s="3">
        <f t="shared" si="0"/>
        <v>1.1073563167207656E-2</v>
      </c>
      <c r="E14" s="5"/>
      <c r="F14" s="5"/>
      <c r="G14" s="8"/>
      <c r="H14" s="16"/>
      <c r="K14" s="16"/>
    </row>
    <row r="15" spans="1:11" x14ac:dyDescent="0.25">
      <c r="A15" t="s">
        <v>125</v>
      </c>
      <c r="B15" s="16">
        <f>'ODA-GNI time series'!B56</f>
        <v>2977.9141820124996</v>
      </c>
      <c r="C15" s="16">
        <v>259276</v>
      </c>
      <c r="D15" s="3">
        <f t="shared" si="0"/>
        <v>1.1485498781269764E-2</v>
      </c>
      <c r="E15" s="5"/>
      <c r="F15" s="5"/>
      <c r="G15" s="8"/>
      <c r="H15" s="16"/>
      <c r="K15" s="16"/>
    </row>
    <row r="16" spans="1:11" x14ac:dyDescent="0.25">
      <c r="A16" t="s">
        <v>126</v>
      </c>
      <c r="B16" s="16">
        <f>'ODA-GNI time series'!B57</f>
        <v>3115.0166879971998</v>
      </c>
      <c r="C16" s="16">
        <v>280188</v>
      </c>
      <c r="D16" s="3">
        <f t="shared" si="0"/>
        <v>1.1117594929109026E-2</v>
      </c>
      <c r="E16" s="5"/>
      <c r="F16" s="5"/>
      <c r="G16" s="8"/>
      <c r="H16" s="16"/>
      <c r="K16" s="16"/>
    </row>
    <row r="17" spans="1:11" x14ac:dyDescent="0.25">
      <c r="A17" t="s">
        <v>127</v>
      </c>
      <c r="B17" s="16">
        <f>'ODA-GNI time series'!B58</f>
        <v>3737.3768989748</v>
      </c>
      <c r="C17" s="16">
        <v>324612</v>
      </c>
      <c r="D17" s="3">
        <f t="shared" si="0"/>
        <v>1.1513366415828128E-2</v>
      </c>
      <c r="E17" s="5"/>
      <c r="F17" s="5"/>
      <c r="G17" s="8"/>
      <c r="H17" s="16"/>
      <c r="K17" s="16"/>
    </row>
    <row r="18" spans="1:11" x14ac:dyDescent="0.25">
      <c r="A18" t="s">
        <v>128</v>
      </c>
      <c r="B18" s="16">
        <f>'ODA-GNI time series'!B59</f>
        <v>3877.7029709799999</v>
      </c>
      <c r="C18" s="16">
        <v>340208</v>
      </c>
      <c r="D18" s="3">
        <f t="shared" si="0"/>
        <v>1.13980358221441E-2</v>
      </c>
      <c r="E18" s="5"/>
      <c r="F18" s="5"/>
      <c r="G18" s="8"/>
      <c r="H18" s="16"/>
      <c r="K18" s="16"/>
    </row>
    <row r="19" spans="1:11" x14ac:dyDescent="0.25">
      <c r="A19" t="s">
        <v>129</v>
      </c>
      <c r="B19" s="16">
        <f>'ODA-GNI time series'!B60</f>
        <v>4303.1378796107001</v>
      </c>
      <c r="C19" s="16">
        <v>356353</v>
      </c>
      <c r="D19" s="3">
        <f t="shared" si="0"/>
        <v>1.2075492221507046E-2</v>
      </c>
      <c r="E19" s="5"/>
      <c r="F19" s="5"/>
      <c r="G19" s="8"/>
      <c r="H19" s="16"/>
      <c r="K19" s="16"/>
    </row>
    <row r="20" spans="1:11" x14ac:dyDescent="0.25">
      <c r="A20" t="s">
        <v>130</v>
      </c>
      <c r="B20" s="16">
        <f>'ODA-GNI time series'!B61</f>
        <v>4825.1585243998998</v>
      </c>
      <c r="C20" s="16">
        <v>378005</v>
      </c>
      <c r="D20" s="3">
        <f t="shared" si="0"/>
        <v>1.2764800794698218E-2</v>
      </c>
      <c r="E20" s="5"/>
      <c r="F20" s="5"/>
      <c r="G20" s="8"/>
      <c r="H20" s="16"/>
      <c r="K20" s="16"/>
    </row>
    <row r="21" spans="1:11" x14ac:dyDescent="0.25">
      <c r="A21" t="s">
        <v>131</v>
      </c>
      <c r="B21" s="29">
        <f>'ODA-GNI time series'!B62</f>
        <v>5053.4743107269996</v>
      </c>
      <c r="C21" s="29">
        <f>'2017-18 budget'!O3*1000</f>
        <v>382600</v>
      </c>
      <c r="D21" s="3">
        <f t="shared" si="0"/>
        <v>1.3208244408591217E-2</v>
      </c>
      <c r="E21" s="5"/>
      <c r="F21" s="5"/>
      <c r="G21" s="8"/>
      <c r="H21" s="16"/>
      <c r="K21" s="16"/>
    </row>
    <row r="22" spans="1:11" x14ac:dyDescent="0.25">
      <c r="A22" t="s">
        <v>132</v>
      </c>
      <c r="B22" s="29">
        <f>'ODA-GNI time series'!B63</f>
        <v>5048.8999999999996</v>
      </c>
      <c r="C22" s="29">
        <f>'2017-18 budget'!O4*1000</f>
        <v>413800</v>
      </c>
      <c r="D22" s="3">
        <f t="shared" si="0"/>
        <v>1.2201304978250362E-2</v>
      </c>
      <c r="E22" s="5"/>
      <c r="F22" s="5"/>
      <c r="G22" s="8"/>
      <c r="H22" s="16"/>
      <c r="K22" s="16"/>
    </row>
    <row r="23" spans="1:11" x14ac:dyDescent="0.25">
      <c r="A23" t="s">
        <v>133</v>
      </c>
      <c r="B23" s="29">
        <f>'ODA-GNI time series'!B64</f>
        <v>5027.8999999999996</v>
      </c>
      <c r="C23" s="29">
        <f>'2017-18 budget'!O5*1000</f>
        <v>420300</v>
      </c>
      <c r="D23" s="3">
        <f t="shared" si="0"/>
        <v>1.1962645729241017E-2</v>
      </c>
      <c r="E23" s="5"/>
      <c r="F23" s="5"/>
      <c r="G23" s="8"/>
      <c r="H23" s="16"/>
      <c r="K23" s="16"/>
    </row>
    <row r="24" spans="1:11" x14ac:dyDescent="0.25">
      <c r="A24" t="s">
        <v>134</v>
      </c>
      <c r="B24" s="29">
        <f>'ODA-GNI time series'!B65</f>
        <v>4052</v>
      </c>
      <c r="C24" s="29">
        <f>'2017-18 budget'!O6*1000</f>
        <v>431500</v>
      </c>
      <c r="D24" s="3">
        <f t="shared" si="0"/>
        <v>9.3904982618771733E-3</v>
      </c>
      <c r="E24" s="5"/>
      <c r="F24" s="5"/>
      <c r="G24" s="8"/>
      <c r="H24" s="16"/>
      <c r="K24" s="16"/>
    </row>
    <row r="25" spans="1:11" x14ac:dyDescent="0.25">
      <c r="A25" t="s">
        <v>135</v>
      </c>
      <c r="B25" s="29">
        <f>'ODA-GNI time series'!B66</f>
        <v>3828</v>
      </c>
      <c r="C25" s="29">
        <f>'2017-18 budget'!O7*1000</f>
        <v>450757</v>
      </c>
      <c r="D25" s="3">
        <f t="shared" si="0"/>
        <v>8.4923805953096686E-3</v>
      </c>
      <c r="E25" s="5"/>
      <c r="F25" s="5"/>
      <c r="G25" s="8"/>
      <c r="H25" s="16"/>
      <c r="K25" s="16"/>
    </row>
    <row r="26" spans="1:11" x14ac:dyDescent="0.25">
      <c r="A26" t="s">
        <v>136</v>
      </c>
      <c r="B26" s="29">
        <f>'ODA-GNI time series'!B67</f>
        <v>3912</v>
      </c>
      <c r="C26" s="29">
        <f>'2017-18 budget'!O8*1000</f>
        <v>464800</v>
      </c>
      <c r="D26" s="3">
        <f t="shared" si="0"/>
        <v>8.4165232358003449E-3</v>
      </c>
      <c r="E26" s="5"/>
      <c r="F26" s="5"/>
      <c r="G26" s="8"/>
      <c r="H26" s="16"/>
      <c r="K26" s="16"/>
    </row>
    <row r="27" spans="1:11" x14ac:dyDescent="0.25">
      <c r="A27" t="s">
        <v>137</v>
      </c>
      <c r="B27" s="29">
        <f>'ODA-GNI time series'!B68</f>
        <v>4010</v>
      </c>
      <c r="C27" s="29">
        <f>'2017-18 budget'!O9*1000</f>
        <v>486863</v>
      </c>
      <c r="D27" s="3">
        <f t="shared" si="0"/>
        <v>8.2364032592330896E-3</v>
      </c>
      <c r="E27" s="5"/>
      <c r="F27" s="5"/>
      <c r="G27" s="8"/>
    </row>
    <row r="28" spans="1:11" x14ac:dyDescent="0.25">
      <c r="A28" t="s">
        <v>149</v>
      </c>
      <c r="B28" s="29">
        <f>'ODA-GNI time series'!B69</f>
        <v>4010</v>
      </c>
      <c r="C28" s="29">
        <f>'2017-18 budget'!O10*1000</f>
        <v>503198</v>
      </c>
      <c r="D28" s="3">
        <f t="shared" si="0"/>
        <v>7.9690300835853871E-3</v>
      </c>
    </row>
    <row r="29" spans="1:11" x14ac:dyDescent="0.25">
      <c r="A29" t="s">
        <v>185</v>
      </c>
      <c r="B29" s="29">
        <f>'ODA-GNI time series'!B70</f>
        <v>4010</v>
      </c>
      <c r="C29" s="29">
        <f>'2017-18 budget'!O11*1000</f>
        <v>522907.00000000006</v>
      </c>
      <c r="D29" s="3">
        <f t="shared" si="0"/>
        <v>7.6686676598324358E-3</v>
      </c>
    </row>
    <row r="31" spans="1:11" x14ac:dyDescent="0.25">
      <c r="A31" t="s">
        <v>139</v>
      </c>
    </row>
    <row r="32" spans="1:11" x14ac:dyDescent="0.25">
      <c r="A32" t="s">
        <v>140</v>
      </c>
    </row>
    <row r="33" spans="1:1" x14ac:dyDescent="0.25">
      <c r="A33"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W143"/>
  <sheetViews>
    <sheetView zoomScale="85" zoomScaleNormal="85" workbookViewId="0">
      <pane ySplit="10" topLeftCell="A56" activePane="bottomLeft" state="frozen"/>
      <selection activeCell="J39" sqref="J39"/>
      <selection pane="bottomLeft" activeCell="H78" sqref="H78"/>
    </sheetView>
  </sheetViews>
  <sheetFormatPr defaultColWidth="27.140625" defaultRowHeight="15" outlineLevelCol="1" x14ac:dyDescent="0.25"/>
  <cols>
    <col min="1" max="1" width="16.5703125" customWidth="1"/>
    <col min="2" max="2" width="21.42578125" customWidth="1"/>
    <col min="3" max="3" width="23.7109375" customWidth="1" outlineLevel="1"/>
    <col min="4" max="4" width="24.5703125" bestFit="1" customWidth="1"/>
    <col min="5" max="5" width="22.140625" customWidth="1"/>
    <col min="6" max="6" width="15.28515625" bestFit="1" customWidth="1"/>
    <col min="7" max="7" width="22" bestFit="1" customWidth="1"/>
    <col min="8" max="8" width="25.85546875" bestFit="1" customWidth="1"/>
    <col min="9" max="9" width="23.7109375" customWidth="1"/>
    <col min="10" max="10" width="4.140625" customWidth="1"/>
    <col min="11" max="11" width="20" bestFit="1" customWidth="1"/>
    <col min="14" max="14" width="4.85546875" customWidth="1"/>
    <col min="16" max="16" width="3" customWidth="1"/>
    <col min="23" max="23" width="52.5703125" bestFit="1" customWidth="1"/>
  </cols>
  <sheetData>
    <row r="2" spans="1:23" x14ac:dyDescent="0.25">
      <c r="O2" s="9" t="s">
        <v>105</v>
      </c>
      <c r="Q2" t="s">
        <v>108</v>
      </c>
    </row>
    <row r="3" spans="1:23" x14ac:dyDescent="0.25">
      <c r="O3" t="s">
        <v>78</v>
      </c>
      <c r="Q3" s="4" t="s">
        <v>89</v>
      </c>
    </row>
    <row r="4" spans="1:23" x14ac:dyDescent="0.25">
      <c r="B4" s="2"/>
      <c r="O4" t="s">
        <v>85</v>
      </c>
      <c r="Q4" s="4" t="s">
        <v>106</v>
      </c>
    </row>
    <row r="5" spans="1:23" x14ac:dyDescent="0.25">
      <c r="B5" s="2"/>
      <c r="Q5" s="4" t="s">
        <v>107</v>
      </c>
    </row>
    <row r="6" spans="1:23" ht="9.75" customHeight="1" x14ac:dyDescent="0.25">
      <c r="Q6" t="s">
        <v>170</v>
      </c>
    </row>
    <row r="7" spans="1:23" s="15" customFormat="1" ht="30" x14ac:dyDescent="0.25">
      <c r="B7" s="15" t="s">
        <v>56</v>
      </c>
      <c r="C7" s="40" t="s">
        <v>77</v>
      </c>
      <c r="D7" s="40"/>
      <c r="E7" s="15" t="s">
        <v>57</v>
      </c>
      <c r="F7" s="15" t="s">
        <v>58</v>
      </c>
      <c r="Q7" t="s">
        <v>168</v>
      </c>
    </row>
    <row r="8" spans="1:23" x14ac:dyDescent="0.25">
      <c r="A8" t="s">
        <v>40</v>
      </c>
      <c r="B8" t="s">
        <v>59</v>
      </c>
      <c r="C8" s="41" t="s">
        <v>59</v>
      </c>
      <c r="D8" s="41"/>
      <c r="E8" t="s">
        <v>60</v>
      </c>
      <c r="F8" t="s">
        <v>60</v>
      </c>
      <c r="G8" t="s">
        <v>59</v>
      </c>
      <c r="H8" t="s">
        <v>59</v>
      </c>
      <c r="I8" t="s">
        <v>144</v>
      </c>
    </row>
    <row r="9" spans="1:23" x14ac:dyDescent="0.25">
      <c r="A9" t="s">
        <v>61</v>
      </c>
      <c r="B9" t="s">
        <v>46</v>
      </c>
      <c r="C9" s="41" t="s">
        <v>46</v>
      </c>
      <c r="D9" s="41"/>
      <c r="E9" t="s">
        <v>46</v>
      </c>
      <c r="F9" t="s">
        <v>46</v>
      </c>
      <c r="G9" t="s">
        <v>82</v>
      </c>
      <c r="H9" t="s">
        <v>82</v>
      </c>
      <c r="I9" t="s">
        <v>145</v>
      </c>
    </row>
    <row r="10" spans="1:23" x14ac:dyDescent="0.25">
      <c r="A10" t="s">
        <v>62</v>
      </c>
      <c r="B10" t="s">
        <v>63</v>
      </c>
      <c r="C10" t="s">
        <v>76</v>
      </c>
      <c r="D10" t="s">
        <v>183</v>
      </c>
      <c r="E10" t="s">
        <v>64</v>
      </c>
      <c r="F10" t="s">
        <v>65</v>
      </c>
      <c r="G10" t="s">
        <v>63</v>
      </c>
      <c r="H10" t="s">
        <v>184</v>
      </c>
      <c r="I10" t="s">
        <v>146</v>
      </c>
      <c r="W10" s="31" t="s">
        <v>171</v>
      </c>
    </row>
    <row r="11" spans="1:23" x14ac:dyDescent="0.25">
      <c r="A11" t="s">
        <v>157</v>
      </c>
      <c r="B11" s="2">
        <v>64</v>
      </c>
      <c r="C11" t="s">
        <v>167</v>
      </c>
      <c r="D11" s="18">
        <f t="shared" ref="D11:D19" si="0">B11/I11</f>
        <v>994.8183623139588</v>
      </c>
      <c r="E11" t="s">
        <v>169</v>
      </c>
      <c r="F11" s="10">
        <v>0.3581822252070741</v>
      </c>
      <c r="G11" t="s">
        <v>169</v>
      </c>
      <c r="H11" t="s">
        <v>169</v>
      </c>
      <c r="I11" s="26">
        <f t="shared" ref="I11:I19" si="1">I12/(1+(W12/100))</f>
        <v>6.4333352121823797E-2</v>
      </c>
      <c r="J11" s="10"/>
      <c r="K11" t="s">
        <v>172</v>
      </c>
      <c r="V11" s="32">
        <v>22798</v>
      </c>
      <c r="W11" s="34">
        <v>-1.3</v>
      </c>
    </row>
    <row r="12" spans="1:23" x14ac:dyDescent="0.25">
      <c r="A12" t="s">
        <v>158</v>
      </c>
      <c r="B12" s="2">
        <v>75</v>
      </c>
      <c r="C12" t="s">
        <v>167</v>
      </c>
      <c r="D12" s="18">
        <f t="shared" si="0"/>
        <v>1165.8027683366706</v>
      </c>
      <c r="E12" s="5">
        <f t="shared" ref="E12:E21" si="2">(D12-D11)/D11</f>
        <v>0.17187500000000017</v>
      </c>
      <c r="F12" s="10">
        <v>0.39048263653876192</v>
      </c>
      <c r="G12" s="18">
        <f t="shared" ref="G12:G21" si="3">B12-B11</f>
        <v>11</v>
      </c>
      <c r="H12" s="18">
        <f t="shared" ref="H12:H21" si="4">D12-D11</f>
        <v>170.98440602271182</v>
      </c>
      <c r="I12" s="26">
        <f t="shared" si="1"/>
        <v>6.4333352121823797E-2</v>
      </c>
      <c r="J12" s="10"/>
      <c r="V12" s="32">
        <v>23163</v>
      </c>
      <c r="W12" s="34">
        <v>0</v>
      </c>
    </row>
    <row r="13" spans="1:23" x14ac:dyDescent="0.25">
      <c r="A13" t="s">
        <v>159</v>
      </c>
      <c r="B13" s="2">
        <v>86</v>
      </c>
      <c r="C13" t="s">
        <v>167</v>
      </c>
      <c r="D13" s="18">
        <f t="shared" si="0"/>
        <v>1302.9114759838033</v>
      </c>
      <c r="E13" s="5">
        <f t="shared" si="2"/>
        <v>0.11760883690708238</v>
      </c>
      <c r="F13" s="10">
        <v>0.40409735927074525</v>
      </c>
      <c r="G13" s="18">
        <f t="shared" si="3"/>
        <v>11</v>
      </c>
      <c r="H13" s="18">
        <f t="shared" si="4"/>
        <v>137.10870764713263</v>
      </c>
      <c r="I13" s="26">
        <f t="shared" si="1"/>
        <v>6.6006019276991221E-2</v>
      </c>
      <c r="J13" s="10"/>
      <c r="V13" s="32">
        <v>23529</v>
      </c>
      <c r="W13" s="34">
        <v>2.6</v>
      </c>
    </row>
    <row r="14" spans="1:23" x14ac:dyDescent="0.25">
      <c r="A14" t="s">
        <v>160</v>
      </c>
      <c r="B14" s="2">
        <v>95.778999999999996</v>
      </c>
      <c r="C14" t="s">
        <v>167</v>
      </c>
      <c r="D14" s="18">
        <f t="shared" si="0"/>
        <v>1397.942804344812</v>
      </c>
      <c r="E14" s="5">
        <f t="shared" si="2"/>
        <v>7.2937670833893298E-2</v>
      </c>
      <c r="F14" s="10">
        <v>0.41112160363995365</v>
      </c>
      <c r="G14" s="18">
        <f t="shared" si="3"/>
        <v>9.7789999999999964</v>
      </c>
      <c r="H14" s="18">
        <f t="shared" si="4"/>
        <v>95.031328361008718</v>
      </c>
      <c r="I14" s="26">
        <f t="shared" si="1"/>
        <v>6.8514248009516887E-2</v>
      </c>
      <c r="J14" s="10"/>
      <c r="V14" s="32">
        <v>23894</v>
      </c>
      <c r="W14" s="34">
        <v>3.8</v>
      </c>
    </row>
    <row r="15" spans="1:23" x14ac:dyDescent="0.25">
      <c r="A15" t="s">
        <v>161</v>
      </c>
      <c r="B15" s="2">
        <v>107.122</v>
      </c>
      <c r="C15" t="s">
        <v>167</v>
      </c>
      <c r="D15" s="18">
        <f t="shared" si="0"/>
        <v>1509.1695071257484</v>
      </c>
      <c r="E15" s="5">
        <f t="shared" si="2"/>
        <v>7.9564559032918494E-2</v>
      </c>
      <c r="F15" s="10">
        <v>0.43963719937617995</v>
      </c>
      <c r="G15" s="18">
        <f t="shared" si="3"/>
        <v>11.343000000000004</v>
      </c>
      <c r="H15" s="18">
        <f t="shared" si="4"/>
        <v>111.22670278093642</v>
      </c>
      <c r="I15" s="26">
        <f t="shared" si="1"/>
        <v>7.0980760937859502E-2</v>
      </c>
      <c r="J15" s="10"/>
      <c r="V15" s="32">
        <v>24259</v>
      </c>
      <c r="W15" s="34">
        <v>3.6</v>
      </c>
    </row>
    <row r="16" spans="1:23" x14ac:dyDescent="0.25">
      <c r="A16" t="s">
        <v>162</v>
      </c>
      <c r="B16" s="2">
        <v>124.38800000000001</v>
      </c>
      <c r="C16" t="s">
        <v>167</v>
      </c>
      <c r="D16" s="18">
        <f t="shared" si="0"/>
        <v>1693.1579899135061</v>
      </c>
      <c r="E16" s="5">
        <f t="shared" si="2"/>
        <v>0.12191372931869555</v>
      </c>
      <c r="F16" s="10">
        <v>0.46016795531056937</v>
      </c>
      <c r="G16" s="18">
        <f t="shared" si="3"/>
        <v>17.266000000000005</v>
      </c>
      <c r="H16" s="18">
        <f t="shared" si="4"/>
        <v>183.98848278775768</v>
      </c>
      <c r="I16" s="26">
        <f t="shared" si="1"/>
        <v>7.3465087570684581E-2</v>
      </c>
      <c r="J16" s="10"/>
      <c r="V16" s="32">
        <v>24624</v>
      </c>
      <c r="W16" s="34">
        <v>3.5</v>
      </c>
    </row>
    <row r="17" spans="1:23" x14ac:dyDescent="0.25">
      <c r="A17" t="s">
        <v>163</v>
      </c>
      <c r="B17" s="2">
        <v>139.721</v>
      </c>
      <c r="C17" t="s">
        <v>167</v>
      </c>
      <c r="D17" s="18">
        <f t="shared" si="0"/>
        <v>1860.9289359270895</v>
      </c>
      <c r="E17" s="5">
        <f t="shared" si="2"/>
        <v>9.9087590770046141E-2</v>
      </c>
      <c r="F17" s="10">
        <v>0.48211241848107383</v>
      </c>
      <c r="G17" s="18">
        <f t="shared" si="3"/>
        <v>15.332999999999998</v>
      </c>
      <c r="H17" s="18">
        <f t="shared" si="4"/>
        <v>167.7709460135834</v>
      </c>
      <c r="I17" s="26">
        <f t="shared" si="1"/>
        <v>7.5081319497239646E-2</v>
      </c>
      <c r="J17" s="10"/>
      <c r="V17" s="32">
        <v>24990</v>
      </c>
      <c r="W17" s="34">
        <v>2.2000000000000002</v>
      </c>
    </row>
    <row r="18" spans="1:23" x14ac:dyDescent="0.25">
      <c r="A18" t="s">
        <v>164</v>
      </c>
      <c r="B18" s="2">
        <v>149.70400000000001</v>
      </c>
      <c r="C18" t="s">
        <v>167</v>
      </c>
      <c r="D18" s="18">
        <f t="shared" si="0"/>
        <v>1930.1950016239946</v>
      </c>
      <c r="E18" s="5">
        <f t="shared" si="2"/>
        <v>3.7221230945284706E-2</v>
      </c>
      <c r="F18" s="10">
        <v>0.46312142304717713</v>
      </c>
      <c r="G18" s="18">
        <f t="shared" si="3"/>
        <v>9.9830000000000041</v>
      </c>
      <c r="H18" s="18">
        <f t="shared" si="4"/>
        <v>69.266065696905116</v>
      </c>
      <c r="I18" s="26">
        <f t="shared" si="1"/>
        <v>7.7559003040648541E-2</v>
      </c>
      <c r="J18" s="10"/>
      <c r="V18" s="32">
        <v>25355</v>
      </c>
      <c r="W18" s="34">
        <v>3.3</v>
      </c>
    </row>
    <row r="19" spans="1:23" x14ac:dyDescent="0.25">
      <c r="A19" t="s">
        <v>165</v>
      </c>
      <c r="B19" s="2">
        <v>165.726</v>
      </c>
      <c r="C19" t="s">
        <v>167</v>
      </c>
      <c r="D19" s="18">
        <f t="shared" si="0"/>
        <v>2070.5166777113172</v>
      </c>
      <c r="E19" s="5">
        <f t="shared" si="2"/>
        <v>7.2698186436738879E-2</v>
      </c>
      <c r="F19" s="10">
        <v>0.45349715411558666</v>
      </c>
      <c r="G19" s="18">
        <f t="shared" si="3"/>
        <v>16.021999999999991</v>
      </c>
      <c r="H19" s="18">
        <f t="shared" si="4"/>
        <v>140.32167608732266</v>
      </c>
      <c r="I19" s="26">
        <f t="shared" si="1"/>
        <v>8.0040891137949294E-2</v>
      </c>
      <c r="J19" s="10"/>
      <c r="K19" t="s">
        <v>173</v>
      </c>
      <c r="V19" s="32">
        <v>25720</v>
      </c>
      <c r="W19" s="34">
        <v>3.2</v>
      </c>
    </row>
    <row r="20" spans="1:23" x14ac:dyDescent="0.25">
      <c r="A20" t="s">
        <v>166</v>
      </c>
      <c r="B20">
        <v>176.7</v>
      </c>
      <c r="C20" t="s">
        <v>167</v>
      </c>
      <c r="D20" s="18">
        <f>B20/I20</f>
        <v>2098.499617878992</v>
      </c>
      <c r="E20" s="5">
        <f t="shared" si="2"/>
        <v>1.3514955213307537E-2</v>
      </c>
      <c r="F20" s="10">
        <v>0.44191571839439792</v>
      </c>
      <c r="G20" s="18">
        <f t="shared" si="3"/>
        <v>10.97399999999999</v>
      </c>
      <c r="H20" s="18">
        <f t="shared" si="4"/>
        <v>27.982940167674769</v>
      </c>
      <c r="I20" s="26">
        <f>I21/(1+(W21/100))</f>
        <v>8.4203017477122666E-2</v>
      </c>
      <c r="J20" s="10"/>
      <c r="K20" t="s">
        <v>168</v>
      </c>
      <c r="V20" s="33">
        <v>26114</v>
      </c>
      <c r="W20" s="35">
        <v>5.2</v>
      </c>
    </row>
    <row r="21" spans="1:23" x14ac:dyDescent="0.25">
      <c r="A21" t="s">
        <v>66</v>
      </c>
      <c r="B21" s="18">
        <v>200.5</v>
      </c>
      <c r="C21" s="18">
        <v>1979.7</v>
      </c>
      <c r="D21" s="21">
        <f>C21*'2017-18 budget'!G$12</f>
        <v>2227.455398577591</v>
      </c>
      <c r="E21" s="5">
        <f t="shared" si="2"/>
        <v>6.1451419671421231E-2</v>
      </c>
      <c r="F21" s="10">
        <v>0.45</v>
      </c>
      <c r="G21" s="18">
        <f t="shared" si="3"/>
        <v>23.800000000000011</v>
      </c>
      <c r="H21" s="18">
        <f t="shared" si="4"/>
        <v>128.95578069859903</v>
      </c>
      <c r="I21" s="10">
        <f>B21/D21</f>
        <v>9.0013025683044132E-2</v>
      </c>
      <c r="J21" s="20"/>
      <c r="V21" s="33">
        <v>26480</v>
      </c>
      <c r="W21" s="35">
        <v>6.9</v>
      </c>
    </row>
    <row r="22" spans="1:23" x14ac:dyDescent="0.25">
      <c r="A22" t="s">
        <v>67</v>
      </c>
      <c r="B22" s="18">
        <v>219.2</v>
      </c>
      <c r="C22" s="18">
        <v>2064.1</v>
      </c>
      <c r="D22" s="21">
        <f>C22*'2017-18 budget'!G$12</f>
        <v>2322.4178856412614</v>
      </c>
      <c r="E22" s="5">
        <f>(D22-D21)/D21</f>
        <v>4.2632722129615476E-2</v>
      </c>
      <c r="F22" s="10">
        <v>0.44</v>
      </c>
      <c r="G22" s="18">
        <f>B22-B21</f>
        <v>18.699999999999989</v>
      </c>
      <c r="H22" s="18">
        <f t="shared" ref="H22:H67" si="5">D22-D21</f>
        <v>94.962487063670324</v>
      </c>
      <c r="I22" s="10">
        <f t="shared" ref="I22:I70" si="6">B22/D22</f>
        <v>9.4384391954282137E-2</v>
      </c>
      <c r="J22" s="20"/>
    </row>
    <row r="23" spans="1:23" x14ac:dyDescent="0.25">
      <c r="A23" t="s">
        <v>68</v>
      </c>
      <c r="B23" s="18">
        <v>264.89999999999998</v>
      </c>
      <c r="C23" s="18">
        <v>2190.3000000000002</v>
      </c>
      <c r="D23" s="21">
        <f>C23*'2017-18 budget'!G$12</f>
        <v>2464.4115570563713</v>
      </c>
      <c r="E23" s="5">
        <f t="shared" ref="E23:E67" si="7">(D23-D22)/D22</f>
        <v>6.1140448621675558E-2</v>
      </c>
      <c r="F23" s="10">
        <v>0.44</v>
      </c>
      <c r="G23" s="18">
        <f t="shared" ref="G23:G67" si="8">B23-B22</f>
        <v>45.699999999999989</v>
      </c>
      <c r="H23" s="18">
        <f t="shared" si="5"/>
        <v>141.99367141510993</v>
      </c>
      <c r="I23" s="10">
        <f t="shared" si="6"/>
        <v>0.10749016301336092</v>
      </c>
      <c r="J23" s="20"/>
    </row>
    <row r="24" spans="1:23" x14ac:dyDescent="0.25">
      <c r="A24" t="s">
        <v>6</v>
      </c>
      <c r="B24" s="18">
        <v>279.54000000000002</v>
      </c>
      <c r="C24" s="18">
        <v>2268.6</v>
      </c>
      <c r="D24" s="21">
        <f>C24*'2017-18 budget'!G$12</f>
        <v>2552.5106416189942</v>
      </c>
      <c r="E24" s="5">
        <f t="shared" si="7"/>
        <v>3.5748527598958885E-2</v>
      </c>
      <c r="F24" s="10">
        <v>0.47</v>
      </c>
      <c r="G24" s="18">
        <f t="shared" si="8"/>
        <v>14.640000000000043</v>
      </c>
      <c r="H24" s="18">
        <f t="shared" si="5"/>
        <v>88.09908456262292</v>
      </c>
      <c r="I24" s="10">
        <f t="shared" si="6"/>
        <v>0.10951570404529037</v>
      </c>
      <c r="J24" s="20"/>
    </row>
    <row r="25" spans="1:23" x14ac:dyDescent="0.25">
      <c r="A25" t="s">
        <v>7</v>
      </c>
      <c r="B25" s="18">
        <v>305.113</v>
      </c>
      <c r="C25" s="18">
        <v>2092.8000000000002</v>
      </c>
      <c r="D25" s="21">
        <f>C25*'2017-18 budget'!G$12</f>
        <v>2354.7096318347139</v>
      </c>
      <c r="E25" s="5">
        <f t="shared" si="7"/>
        <v>-7.7492726791853844E-2</v>
      </c>
      <c r="F25" s="10">
        <v>0.43</v>
      </c>
      <c r="G25" s="18">
        <f t="shared" si="8"/>
        <v>25.572999999999979</v>
      </c>
      <c r="H25" s="18">
        <f t="shared" si="5"/>
        <v>-197.80100978428027</v>
      </c>
      <c r="I25" s="10">
        <f t="shared" si="6"/>
        <v>0.12957563678977513</v>
      </c>
      <c r="J25" s="20"/>
    </row>
    <row r="26" spans="1:23" x14ac:dyDescent="0.25">
      <c r="A26" t="s">
        <v>8</v>
      </c>
      <c r="B26" s="18">
        <v>321.05700000000002</v>
      </c>
      <c r="C26" s="18">
        <v>2014.2</v>
      </c>
      <c r="D26" s="21">
        <f>C26*'2017-18 budget'!G$12</f>
        <v>2266.2730028867927</v>
      </c>
      <c r="E26" s="5">
        <f t="shared" si="7"/>
        <v>-3.7557339449541496E-2</v>
      </c>
      <c r="F26" s="10">
        <v>0.4</v>
      </c>
      <c r="G26" s="18">
        <f t="shared" si="8"/>
        <v>15.944000000000017</v>
      </c>
      <c r="H26" s="18">
        <f t="shared" si="5"/>
        <v>-88.436628947921236</v>
      </c>
      <c r="I26" s="10">
        <f t="shared" si="6"/>
        <v>0.14166739823094376</v>
      </c>
      <c r="J26" s="20"/>
    </row>
    <row r="27" spans="1:23" x14ac:dyDescent="0.25">
      <c r="A27" t="s">
        <v>9</v>
      </c>
      <c r="B27" s="18">
        <v>339.40499999999997</v>
      </c>
      <c r="C27" s="18">
        <v>2044.1</v>
      </c>
      <c r="D27" s="21">
        <f>C27*'2017-18 budget'!G$12</f>
        <v>2299.9149266214345</v>
      </c>
      <c r="E27" s="5">
        <f t="shared" si="7"/>
        <v>1.484460331645325E-2</v>
      </c>
      <c r="F27" s="10">
        <v>0.41</v>
      </c>
      <c r="G27" s="18">
        <f t="shared" si="8"/>
        <v>18.347999999999956</v>
      </c>
      <c r="H27" s="18">
        <f t="shared" si="5"/>
        <v>33.64192373464175</v>
      </c>
      <c r="I27" s="10">
        <f t="shared" si="6"/>
        <v>0.14757284979170274</v>
      </c>
      <c r="J27" s="20"/>
    </row>
    <row r="28" spans="1:23" x14ac:dyDescent="0.25">
      <c r="A28" t="s">
        <v>10</v>
      </c>
      <c r="B28" s="18">
        <v>391.56599999999997</v>
      </c>
      <c r="C28" s="18">
        <v>2126.6</v>
      </c>
      <c r="D28" s="21">
        <f>C28*'2017-18 budget'!G$12</f>
        <v>2392.7396325782215</v>
      </c>
      <c r="E28" s="5">
        <f t="shared" si="7"/>
        <v>4.0360060662394226E-2</v>
      </c>
      <c r="F28" s="10">
        <v>0.4</v>
      </c>
      <c r="G28" s="18">
        <f t="shared" si="8"/>
        <v>52.161000000000001</v>
      </c>
      <c r="H28" s="18">
        <f t="shared" si="5"/>
        <v>92.824705956787056</v>
      </c>
      <c r="I28" s="10">
        <f t="shared" si="6"/>
        <v>0.16364755891892857</v>
      </c>
      <c r="J28" s="20"/>
    </row>
    <row r="29" spans="1:23" x14ac:dyDescent="0.25">
      <c r="A29" t="s">
        <v>11</v>
      </c>
      <c r="B29" s="18">
        <v>410.75400000000002</v>
      </c>
      <c r="C29" s="18">
        <v>2111.6</v>
      </c>
      <c r="D29" s="21">
        <f>C29*'2017-18 budget'!G$12</f>
        <v>2375.8624133133508</v>
      </c>
      <c r="E29" s="5">
        <f t="shared" si="7"/>
        <v>-7.0535126492995096E-3</v>
      </c>
      <c r="F29" s="10">
        <v>0.38</v>
      </c>
      <c r="G29" s="18">
        <f t="shared" si="8"/>
        <v>19.188000000000045</v>
      </c>
      <c r="H29" s="18">
        <f t="shared" si="5"/>
        <v>-16.877219264870746</v>
      </c>
      <c r="I29" s="10">
        <f t="shared" si="6"/>
        <v>0.17288627392659794</v>
      </c>
      <c r="J29" s="20"/>
    </row>
    <row r="30" spans="1:23" x14ac:dyDescent="0.25">
      <c r="A30" t="s">
        <v>12</v>
      </c>
      <c r="B30" s="18">
        <v>442.702</v>
      </c>
      <c r="C30" s="18">
        <v>2131.6</v>
      </c>
      <c r="D30" s="21">
        <f>C30*'2017-18 budget'!G$12</f>
        <v>2398.3653723331781</v>
      </c>
      <c r="E30" s="5">
        <f t="shared" si="7"/>
        <v>9.4714908126539987E-3</v>
      </c>
      <c r="F30" s="10">
        <v>0.37</v>
      </c>
      <c r="G30" s="18">
        <f t="shared" si="8"/>
        <v>31.947999999999979</v>
      </c>
      <c r="H30" s="18">
        <f t="shared" si="5"/>
        <v>22.502959019827358</v>
      </c>
      <c r="I30" s="10">
        <f t="shared" si="6"/>
        <v>0.18458488648430185</v>
      </c>
      <c r="J30" s="20"/>
    </row>
    <row r="31" spans="1:23" x14ac:dyDescent="0.25">
      <c r="A31" t="s">
        <v>13</v>
      </c>
      <c r="B31" s="18">
        <v>499.19099999999997</v>
      </c>
      <c r="C31" s="18">
        <v>2186.1999999999998</v>
      </c>
      <c r="D31" s="21">
        <f>C31*'2017-18 budget'!G$12</f>
        <v>2459.798450457306</v>
      </c>
      <c r="E31" s="5">
        <f t="shared" si="7"/>
        <v>2.561456183148797E-2</v>
      </c>
      <c r="F31" s="10">
        <v>0.38</v>
      </c>
      <c r="G31" s="18">
        <f t="shared" si="8"/>
        <v>56.488999999999976</v>
      </c>
      <c r="H31" s="18">
        <f t="shared" si="5"/>
        <v>61.43307812412786</v>
      </c>
      <c r="I31" s="10">
        <f t="shared" si="6"/>
        <v>0.20293979773310061</v>
      </c>
      <c r="J31" s="20"/>
    </row>
    <row r="32" spans="1:23" x14ac:dyDescent="0.25">
      <c r="A32" t="s">
        <v>14</v>
      </c>
      <c r="B32" s="18">
        <v>546.86800000000005</v>
      </c>
      <c r="C32" s="18">
        <v>2214.1999999999998</v>
      </c>
      <c r="D32" s="21">
        <f>C32*'2017-18 budget'!G$12</f>
        <v>2491.302593085064</v>
      </c>
      <c r="E32" s="5">
        <f t="shared" si="7"/>
        <v>1.2807611380477547E-2</v>
      </c>
      <c r="F32" s="10">
        <v>0.4</v>
      </c>
      <c r="G32" s="18">
        <f t="shared" si="8"/>
        <v>47.677000000000078</v>
      </c>
      <c r="H32" s="18">
        <f t="shared" si="5"/>
        <v>31.504142627758029</v>
      </c>
      <c r="I32" s="10">
        <f t="shared" si="6"/>
        <v>0.21951087014395748</v>
      </c>
      <c r="J32" s="20"/>
    </row>
    <row r="33" spans="1:10" x14ac:dyDescent="0.25">
      <c r="A33" t="s">
        <v>15</v>
      </c>
      <c r="B33" s="18">
        <v>931.8</v>
      </c>
      <c r="C33" s="18">
        <v>2595.5431754874653</v>
      </c>
      <c r="D33" s="21">
        <f>C33*'2017-18 budget'!G$12</f>
        <v>2920.3700856093237</v>
      </c>
      <c r="E33" s="5">
        <f t="shared" si="7"/>
        <v>0.17222616542654939</v>
      </c>
      <c r="F33" s="10">
        <v>0.44093847304114103</v>
      </c>
      <c r="G33" s="18">
        <f t="shared" si="8"/>
        <v>384.9319999999999</v>
      </c>
      <c r="H33" s="18">
        <f t="shared" si="5"/>
        <v>429.06749252425971</v>
      </c>
      <c r="I33" s="10">
        <f t="shared" si="6"/>
        <v>0.31906914969154793</v>
      </c>
      <c r="J33" s="20"/>
    </row>
    <row r="34" spans="1:10" x14ac:dyDescent="0.25">
      <c r="A34" t="s">
        <v>16</v>
      </c>
      <c r="B34" s="18">
        <v>1011.4</v>
      </c>
      <c r="C34" s="18">
        <v>2697.0666666666666</v>
      </c>
      <c r="D34" s="21">
        <f>C34*'2017-18 budget'!G$12</f>
        <v>3034.5990336870914</v>
      </c>
      <c r="E34" s="5">
        <f t="shared" si="7"/>
        <v>3.9114545324461583E-2</v>
      </c>
      <c r="F34" s="10">
        <v>0.43546400985111383</v>
      </c>
      <c r="G34" s="18">
        <f t="shared" si="8"/>
        <v>79.600000000000023</v>
      </c>
      <c r="H34" s="18">
        <f t="shared" si="5"/>
        <v>114.22894807776765</v>
      </c>
      <c r="I34" s="10">
        <f t="shared" si="6"/>
        <v>0.33328950176693728</v>
      </c>
      <c r="J34" s="20"/>
    </row>
    <row r="35" spans="1:10" x14ac:dyDescent="0.25">
      <c r="A35" t="s">
        <v>17</v>
      </c>
      <c r="B35" s="18">
        <v>1031</v>
      </c>
      <c r="C35" s="18">
        <v>2583.9598997493736</v>
      </c>
      <c r="D35" s="21">
        <f>C35*'2017-18 budget'!G$12</f>
        <v>2907.3371866468419</v>
      </c>
      <c r="E35" s="5">
        <f t="shared" si="7"/>
        <v>-4.1936956292253233E-2</v>
      </c>
      <c r="F35" s="10">
        <v>0.40233047292366647</v>
      </c>
      <c r="G35" s="18">
        <f t="shared" si="8"/>
        <v>19.600000000000023</v>
      </c>
      <c r="H35" s="18">
        <f t="shared" si="5"/>
        <v>-127.26184704024945</v>
      </c>
      <c r="I35" s="10">
        <f t="shared" si="6"/>
        <v>0.35462002988002123</v>
      </c>
      <c r="J35" s="20"/>
    </row>
    <row r="36" spans="1:10" x14ac:dyDescent="0.25">
      <c r="A36" t="s">
        <v>18</v>
      </c>
      <c r="B36" s="18">
        <v>975.6</v>
      </c>
      <c r="C36" s="18">
        <v>2268.8372093023258</v>
      </c>
      <c r="D36" s="21">
        <f>C36*'2017-18 budget'!G$12</f>
        <v>2552.7775371794623</v>
      </c>
      <c r="E36" s="5">
        <f t="shared" si="7"/>
        <v>-0.12195339814585064</v>
      </c>
      <c r="F36" s="10">
        <v>0.34691700448047791</v>
      </c>
      <c r="G36" s="18">
        <f t="shared" si="8"/>
        <v>-55.399999999999977</v>
      </c>
      <c r="H36" s="18">
        <f t="shared" si="5"/>
        <v>-354.55964946737959</v>
      </c>
      <c r="I36" s="10">
        <f t="shared" si="6"/>
        <v>0.38217196202608805</v>
      </c>
      <c r="J36" s="20"/>
    </row>
    <row r="37" spans="1:10" x14ac:dyDescent="0.25">
      <c r="A37" t="s">
        <v>19</v>
      </c>
      <c r="B37" s="18">
        <v>1019.6</v>
      </c>
      <c r="C37" s="18">
        <v>2226.2008733624457</v>
      </c>
      <c r="D37" s="21">
        <f>C37*'2017-18 budget'!G$12</f>
        <v>2504.8053511589269</v>
      </c>
      <c r="E37" s="5">
        <f t="shared" si="7"/>
        <v>-1.8792152987032087E-2</v>
      </c>
      <c r="F37" s="10">
        <v>0.31995882836574974</v>
      </c>
      <c r="G37" s="18">
        <f t="shared" si="8"/>
        <v>44</v>
      </c>
      <c r="H37" s="18">
        <f t="shared" si="5"/>
        <v>-47.972186020535446</v>
      </c>
      <c r="I37" s="10">
        <f t="shared" si="6"/>
        <v>0.40705757815801935</v>
      </c>
      <c r="J37" s="20"/>
    </row>
    <row r="38" spans="1:10" x14ac:dyDescent="0.25">
      <c r="A38" t="s">
        <v>20</v>
      </c>
      <c r="B38" s="18">
        <v>1194.5999999999999</v>
      </c>
      <c r="C38" s="18">
        <v>2398.7951807228915</v>
      </c>
      <c r="D38" s="21">
        <f>C38*'2017-18 budget'!G$12</f>
        <v>2698.9994824383052</v>
      </c>
      <c r="E38" s="5">
        <f t="shared" si="7"/>
        <v>7.7528631591883307E-2</v>
      </c>
      <c r="F38" s="10">
        <v>0.33333054302240894</v>
      </c>
      <c r="G38" s="18">
        <f t="shared" si="8"/>
        <v>174.99999999999989</v>
      </c>
      <c r="H38" s="18">
        <f t="shared" si="5"/>
        <v>194.19413127937833</v>
      </c>
      <c r="I38" s="10">
        <f t="shared" si="6"/>
        <v>0.44260845834649265</v>
      </c>
      <c r="J38" s="20"/>
    </row>
    <row r="39" spans="1:10" x14ac:dyDescent="0.25">
      <c r="A39" t="s">
        <v>21</v>
      </c>
      <c r="B39" s="18">
        <v>1173.8</v>
      </c>
      <c r="C39" s="18">
        <v>2227.3244781783678</v>
      </c>
      <c r="D39" s="21">
        <f>C39*'2017-18 budget'!G$12</f>
        <v>2506.0695728152859</v>
      </c>
      <c r="E39" s="5">
        <f t="shared" si="7"/>
        <v>-7.1482010603693899E-2</v>
      </c>
      <c r="F39" s="10">
        <v>0.30043434749335168</v>
      </c>
      <c r="G39" s="18">
        <f t="shared" si="8"/>
        <v>-20.799999999999955</v>
      </c>
      <c r="H39" s="18">
        <f t="shared" si="5"/>
        <v>-192.92990962301928</v>
      </c>
      <c r="I39" s="10">
        <f t="shared" si="6"/>
        <v>0.46838284648313588</v>
      </c>
      <c r="J39" s="20"/>
    </row>
    <row r="40" spans="1:10" x14ac:dyDescent="0.25">
      <c r="A40" t="s">
        <v>22</v>
      </c>
      <c r="B40" s="18">
        <v>1261</v>
      </c>
      <c r="C40" s="18">
        <v>2296.903460837887</v>
      </c>
      <c r="D40" s="21">
        <f>C40*'2017-18 budget'!G$12</f>
        <v>2584.3562225867067</v>
      </c>
      <c r="E40" s="5">
        <f t="shared" si="7"/>
        <v>3.1238817397824512E-2</v>
      </c>
      <c r="F40" s="10">
        <v>0.31625014107113747</v>
      </c>
      <c r="G40" s="18">
        <f t="shared" si="8"/>
        <v>87.200000000000045</v>
      </c>
      <c r="H40" s="18">
        <f t="shared" si="5"/>
        <v>78.286649771420798</v>
      </c>
      <c r="I40" s="10">
        <f t="shared" si="6"/>
        <v>0.48793583058679624</v>
      </c>
      <c r="J40" s="20"/>
    </row>
    <row r="41" spans="1:10" x14ac:dyDescent="0.25">
      <c r="A41" t="s">
        <v>23</v>
      </c>
      <c r="B41" s="18">
        <v>1330.3</v>
      </c>
      <c r="C41" s="18">
        <v>2375.5357142857142</v>
      </c>
      <c r="D41" s="21">
        <f>C41*'2017-18 budget'!G$12</f>
        <v>2672.829141435363</v>
      </c>
      <c r="E41" s="5">
        <f t="shared" si="7"/>
        <v>3.4234026282995489E-2</v>
      </c>
      <c r="F41" s="10">
        <v>0.32682291666666669</v>
      </c>
      <c r="G41" s="18">
        <f t="shared" si="8"/>
        <v>69.299999999999955</v>
      </c>
      <c r="H41" s="18">
        <f t="shared" si="5"/>
        <v>88.472918848656263</v>
      </c>
      <c r="I41" s="10">
        <f t="shared" si="6"/>
        <v>0.4977123226386263</v>
      </c>
      <c r="J41" s="20"/>
    </row>
    <row r="42" spans="1:10" x14ac:dyDescent="0.25">
      <c r="A42" t="s">
        <v>24</v>
      </c>
      <c r="B42" s="18">
        <v>1386.1</v>
      </c>
      <c r="C42" s="18">
        <v>2461.9893428063942</v>
      </c>
      <c r="D42" s="21">
        <f>C42*'2017-18 budget'!G$12</f>
        <v>2770.1022644211739</v>
      </c>
      <c r="E42" s="5">
        <f t="shared" si="7"/>
        <v>3.6393318778907544E-2</v>
      </c>
      <c r="F42" s="10">
        <v>0.32046406136929545</v>
      </c>
      <c r="G42" s="18">
        <f t="shared" si="8"/>
        <v>55.799999999999955</v>
      </c>
      <c r="H42" s="18">
        <f t="shared" si="5"/>
        <v>97.273122985810915</v>
      </c>
      <c r="I42" s="10">
        <f t="shared" si="6"/>
        <v>0.50037863865276189</v>
      </c>
      <c r="J42" s="20"/>
    </row>
    <row r="43" spans="1:10" x14ac:dyDescent="0.25">
      <c r="A43" t="s">
        <v>25</v>
      </c>
      <c r="B43" s="18">
        <v>1410.8</v>
      </c>
      <c r="C43" s="18">
        <v>2479.4376098418275</v>
      </c>
      <c r="D43" s="21">
        <f>C43*'2017-18 budget'!G$12</f>
        <v>2789.7341463244416</v>
      </c>
      <c r="E43" s="5">
        <f t="shared" si="7"/>
        <v>7.0870603426512182E-3</v>
      </c>
      <c r="F43" s="10">
        <v>0.30903355822307893</v>
      </c>
      <c r="G43" s="18">
        <f t="shared" si="8"/>
        <v>24.700000000000045</v>
      </c>
      <c r="H43" s="18">
        <f t="shared" si="5"/>
        <v>19.63188190326764</v>
      </c>
      <c r="I43" s="10">
        <f t="shared" si="6"/>
        <v>0.50571127068103294</v>
      </c>
      <c r="J43" s="20"/>
    </row>
    <row r="44" spans="1:10" x14ac:dyDescent="0.25">
      <c r="A44" t="s">
        <v>26</v>
      </c>
      <c r="B44" s="18">
        <v>1483.7</v>
      </c>
      <c r="C44" s="18">
        <v>2549.3127147766322</v>
      </c>
      <c r="D44" s="21">
        <f>C44*'2017-18 budget'!G$12</f>
        <v>2868.3539774671435</v>
      </c>
      <c r="E44" s="5">
        <f t="shared" si="7"/>
        <v>2.8181836339597432E-2</v>
      </c>
      <c r="F44" s="10">
        <v>0.30984909553384593</v>
      </c>
      <c r="G44" s="18">
        <f t="shared" si="8"/>
        <v>72.900000000000091</v>
      </c>
      <c r="H44" s="18">
        <f t="shared" si="5"/>
        <v>78.619831142701969</v>
      </c>
      <c r="I44" s="10">
        <f t="shared" si="6"/>
        <v>0.51726530674228666</v>
      </c>
      <c r="J44" s="20"/>
    </row>
    <row r="45" spans="1:10" x14ac:dyDescent="0.25">
      <c r="A45" t="s">
        <v>27</v>
      </c>
      <c r="B45" s="18">
        <v>1556.5</v>
      </c>
      <c r="C45" s="18">
        <v>2598.4974958263774</v>
      </c>
      <c r="D45" s="21">
        <f>C45*'2017-18 budget'!G$12</f>
        <v>2923.6941330852228</v>
      </c>
      <c r="E45" s="5">
        <f t="shared" si="7"/>
        <v>1.9293349444599081E-2</v>
      </c>
      <c r="F45" s="10">
        <v>0.30484461052747031</v>
      </c>
      <c r="G45" s="18">
        <f t="shared" si="8"/>
        <v>72.799999999999955</v>
      </c>
      <c r="H45" s="18">
        <f t="shared" si="5"/>
        <v>55.34015561807928</v>
      </c>
      <c r="I45" s="10">
        <f t="shared" si="6"/>
        <v>0.53237443082238778</v>
      </c>
      <c r="J45" s="20"/>
    </row>
    <row r="46" spans="1:10" x14ac:dyDescent="0.25">
      <c r="A46" t="s">
        <v>28</v>
      </c>
      <c r="B46" s="18">
        <v>1432</v>
      </c>
      <c r="C46" s="18">
        <v>2355.2631578947371</v>
      </c>
      <c r="D46" s="21">
        <f>C46*'2017-18 budget'!G$12</f>
        <v>2650.0195161506981</v>
      </c>
      <c r="E46" s="5">
        <f t="shared" si="7"/>
        <v>-9.3605761915228139E-2</v>
      </c>
      <c r="F46" s="10">
        <v>0.2660641824100361</v>
      </c>
      <c r="G46" s="18">
        <f t="shared" si="8"/>
        <v>-124.5</v>
      </c>
      <c r="H46" s="18">
        <f t="shared" si="5"/>
        <v>-273.67461693452469</v>
      </c>
      <c r="I46" s="10">
        <f t="shared" si="6"/>
        <v>0.54037337886479431</v>
      </c>
      <c r="J46" s="20"/>
    </row>
    <row r="47" spans="1:10" x14ac:dyDescent="0.25">
      <c r="A47" t="s">
        <v>29</v>
      </c>
      <c r="B47" s="18">
        <v>1443</v>
      </c>
      <c r="C47" s="18">
        <v>2342.5324675324673</v>
      </c>
      <c r="D47" s="21">
        <f>C47*'2017-18 budget'!G$12</f>
        <v>2635.695605974885</v>
      </c>
      <c r="E47" s="5">
        <f t="shared" si="7"/>
        <v>-5.4052093158239861E-3</v>
      </c>
      <c r="F47" s="10">
        <v>0.25295686060025979</v>
      </c>
      <c r="G47" s="18">
        <f t="shared" si="8"/>
        <v>11</v>
      </c>
      <c r="H47" s="18">
        <f t="shared" si="5"/>
        <v>-14.323910175813126</v>
      </c>
      <c r="I47" s="10">
        <f t="shared" si="6"/>
        <v>0.54748355490248901</v>
      </c>
      <c r="J47" s="20"/>
    </row>
    <row r="48" spans="1:10" x14ac:dyDescent="0.25">
      <c r="A48" t="s">
        <v>30</v>
      </c>
      <c r="B48" s="18">
        <v>1528.6</v>
      </c>
      <c r="C48" s="18">
        <v>2469.4668820678512</v>
      </c>
      <c r="D48" s="21">
        <f>C48*'2017-18 budget'!G$12</f>
        <v>2778.5156023996597</v>
      </c>
      <c r="E48" s="5">
        <f t="shared" si="7"/>
        <v>5.4186832539013449E-2</v>
      </c>
      <c r="F48" s="10">
        <v>0.25427337631661245</v>
      </c>
      <c r="G48" s="18">
        <f t="shared" si="8"/>
        <v>85.599999999999909</v>
      </c>
      <c r="H48" s="18">
        <f t="shared" si="5"/>
        <v>142.81999642477467</v>
      </c>
      <c r="I48" s="10">
        <f t="shared" si="6"/>
        <v>0.55014987091662448</v>
      </c>
      <c r="J48" s="20"/>
    </row>
    <row r="49" spans="1:13" x14ac:dyDescent="0.25">
      <c r="A49" t="s">
        <v>75</v>
      </c>
      <c r="B49" s="18">
        <v>1748.7</v>
      </c>
      <c r="C49" s="18">
        <v>2753.8582677165355</v>
      </c>
      <c r="D49" s="21">
        <f>C49*'2017-18 budget'!G$12</f>
        <v>3098.4979872418699</v>
      </c>
      <c r="E49" s="5">
        <f t="shared" si="7"/>
        <v>0.11516306928989638</v>
      </c>
      <c r="F49" s="10">
        <v>0.27236451084349361</v>
      </c>
      <c r="G49" s="18">
        <f t="shared" si="8"/>
        <v>220.10000000000014</v>
      </c>
      <c r="H49" s="18">
        <f t="shared" si="5"/>
        <v>319.98238484221019</v>
      </c>
      <c r="I49" s="10">
        <f t="shared" si="6"/>
        <v>0.56437022299201378</v>
      </c>
      <c r="J49" s="20"/>
    </row>
    <row r="50" spans="1:13" x14ac:dyDescent="0.25">
      <c r="A50" t="s">
        <v>32</v>
      </c>
      <c r="B50" s="18">
        <v>1623.1</v>
      </c>
      <c r="C50" s="18">
        <v>2448.1146304675713</v>
      </c>
      <c r="D50" s="21">
        <f>C50*'2017-18 budget'!G$12</f>
        <v>2754.491160262553</v>
      </c>
      <c r="E50" s="5">
        <f t="shared" si="7"/>
        <v>-0.11102373743529032</v>
      </c>
      <c r="F50" s="10">
        <v>0.23668250771759086</v>
      </c>
      <c r="G50" s="18">
        <f t="shared" si="8"/>
        <v>-125.60000000000014</v>
      </c>
      <c r="H50" s="18">
        <f t="shared" si="5"/>
        <v>-344.00682697931688</v>
      </c>
      <c r="I50" s="10">
        <f t="shared" si="6"/>
        <v>0.58925583912394519</v>
      </c>
      <c r="J50" s="20"/>
    </row>
    <row r="51" spans="1:13" x14ac:dyDescent="0.25">
      <c r="A51" t="s">
        <v>33</v>
      </c>
      <c r="B51" s="18">
        <v>1755.1</v>
      </c>
      <c r="C51" s="18">
        <v>2584.8306332842412</v>
      </c>
      <c r="D51" s="21">
        <f>C51*'2017-18 budget'!G$12</f>
        <v>2908.3168906994579</v>
      </c>
      <c r="E51" s="5">
        <f t="shared" si="7"/>
        <v>5.5845425338828289E-2</v>
      </c>
      <c r="F51" s="10">
        <v>0.23932474722337749</v>
      </c>
      <c r="G51" s="18">
        <f t="shared" si="8"/>
        <v>132</v>
      </c>
      <c r="H51" s="18">
        <f t="shared" si="5"/>
        <v>153.82573043690491</v>
      </c>
      <c r="I51" s="10">
        <f t="shared" si="6"/>
        <v>0.60347619119933449</v>
      </c>
      <c r="J51" s="20"/>
    </row>
    <row r="52" spans="1:13" x14ac:dyDescent="0.25">
      <c r="A52" t="s">
        <v>34</v>
      </c>
      <c r="B52" s="18">
        <v>1830.8</v>
      </c>
      <c r="C52" s="18">
        <v>2615.4285714285716</v>
      </c>
      <c r="D52" s="21">
        <f>C52*'2017-18 budget'!G$12</f>
        <v>2942.7440981071113</v>
      </c>
      <c r="E52" s="5">
        <f t="shared" si="7"/>
        <v>1.1837502136630512E-2</v>
      </c>
      <c r="F52" s="2">
        <v>0.23511523317605904</v>
      </c>
      <c r="G52" s="18">
        <f t="shared" si="8"/>
        <v>75.700000000000045</v>
      </c>
      <c r="H52" s="18">
        <f t="shared" si="5"/>
        <v>34.427207407653441</v>
      </c>
      <c r="I52" s="10">
        <f t="shared" si="6"/>
        <v>0.62214040329828291</v>
      </c>
      <c r="J52" s="20"/>
    </row>
    <row r="53" spans="1:13" x14ac:dyDescent="0.25">
      <c r="A53" t="s">
        <v>35</v>
      </c>
      <c r="B53" s="18">
        <v>1973.1</v>
      </c>
      <c r="C53" s="18">
        <v>2721.5172413793102</v>
      </c>
      <c r="D53" s="21">
        <f>C53*'2017-18 budget'!G$12</f>
        <v>3062.1095477255835</v>
      </c>
      <c r="E53" s="5">
        <f t="shared" si="7"/>
        <v>4.0562633256236165E-2</v>
      </c>
      <c r="F53" s="10">
        <v>0.23562300796396451</v>
      </c>
      <c r="G53" s="18">
        <f t="shared" si="8"/>
        <v>142.29999999999995</v>
      </c>
      <c r="H53" s="18">
        <f t="shared" si="5"/>
        <v>119.36544961847221</v>
      </c>
      <c r="I53" s="10">
        <f t="shared" si="6"/>
        <v>0.64435970341607873</v>
      </c>
      <c r="J53" s="20"/>
    </row>
    <row r="54" spans="1:13" x14ac:dyDescent="0.25">
      <c r="A54" t="s">
        <v>36</v>
      </c>
      <c r="B54" s="18">
        <v>2198.1</v>
      </c>
      <c r="C54" s="18">
        <v>2915.2519893899198</v>
      </c>
      <c r="D54" s="21">
        <f>C54*'2017-18 budget'!G$12</f>
        <v>3280.0898024855478</v>
      </c>
      <c r="E54" s="5">
        <f t="shared" si="7"/>
        <v>7.1186301914597266E-2</v>
      </c>
      <c r="F54" s="10">
        <v>0.24741620536186631</v>
      </c>
      <c r="G54" s="18">
        <f t="shared" si="8"/>
        <v>225</v>
      </c>
      <c r="H54" s="18">
        <f t="shared" si="5"/>
        <v>217.98025475996428</v>
      </c>
      <c r="I54" s="10">
        <f t="shared" si="6"/>
        <v>0.67013409155272197</v>
      </c>
      <c r="J54" s="20"/>
    </row>
    <row r="55" spans="1:13" x14ac:dyDescent="0.25">
      <c r="A55" t="s">
        <v>41</v>
      </c>
      <c r="B55" s="18">
        <v>2683.5008565621001</v>
      </c>
      <c r="C55" s="18">
        <v>3383.9859477453974</v>
      </c>
      <c r="D55" s="21">
        <f>C55*'2017-18 budget'!G$12</f>
        <v>3807.4848552892818</v>
      </c>
      <c r="E55" s="5">
        <f t="shared" si="7"/>
        <v>0.16078677248534193</v>
      </c>
      <c r="F55" s="10">
        <v>0.27967758729690945</v>
      </c>
      <c r="G55" s="18">
        <f t="shared" si="8"/>
        <v>485.40085656210022</v>
      </c>
      <c r="H55" s="18">
        <f t="shared" si="5"/>
        <v>527.39505280373396</v>
      </c>
      <c r="I55" s="10">
        <f t="shared" si="6"/>
        <v>0.70479619973648333</v>
      </c>
      <c r="J55" s="20"/>
    </row>
    <row r="56" spans="1:13" x14ac:dyDescent="0.25">
      <c r="A56" t="s">
        <v>37</v>
      </c>
      <c r="B56" s="18">
        <v>2977.9141820124996</v>
      </c>
      <c r="C56" s="18">
        <v>3579.223776457331</v>
      </c>
      <c r="D56" s="21">
        <f>C56*'2017-18 budget'!G$12</f>
        <v>4027.1562982205155</v>
      </c>
      <c r="E56" s="5">
        <f t="shared" si="7"/>
        <v>5.7694633407686588E-2</v>
      </c>
      <c r="F56" s="10">
        <v>0.28659473509072553</v>
      </c>
      <c r="G56" s="18">
        <f t="shared" si="8"/>
        <v>294.4133254503995</v>
      </c>
      <c r="H56" s="18">
        <f t="shared" si="5"/>
        <v>219.67144293123374</v>
      </c>
      <c r="I56" s="10">
        <f t="shared" si="6"/>
        <v>0.73945830792024492</v>
      </c>
      <c r="J56" s="20"/>
    </row>
    <row r="57" spans="1:13" x14ac:dyDescent="0.25">
      <c r="A57" t="s">
        <v>38</v>
      </c>
      <c r="B57" s="18">
        <v>3115.0166879971998</v>
      </c>
      <c r="C57" s="18">
        <v>3580.4789517209192</v>
      </c>
      <c r="D57" s="21">
        <f>C57*'2017-18 budget'!G$12</f>
        <v>4028.5685560964771</v>
      </c>
      <c r="E57" s="5">
        <f t="shared" si="7"/>
        <v>3.5068365153486156E-4</v>
      </c>
      <c r="F57" s="10">
        <v>0.27546383687651327</v>
      </c>
      <c r="G57" s="18">
        <f t="shared" si="8"/>
        <v>137.1025059847002</v>
      </c>
      <c r="H57" s="18">
        <f t="shared" si="5"/>
        <v>1.4122578759615863</v>
      </c>
      <c r="I57" s="10">
        <f t="shared" si="6"/>
        <v>0.77323164409929446</v>
      </c>
      <c r="J57" s="20"/>
    </row>
    <row r="58" spans="1:13" x14ac:dyDescent="0.25">
      <c r="A58" t="s">
        <v>39</v>
      </c>
      <c r="B58" s="18">
        <v>3737.3768989748</v>
      </c>
      <c r="C58" s="18">
        <v>4080.1057849069875</v>
      </c>
      <c r="D58" s="21">
        <f>C58*'2017-18 budget'!G$12</f>
        <v>4590.7226637160829</v>
      </c>
      <c r="E58" s="5">
        <f t="shared" si="7"/>
        <v>0.13954189926069197</v>
      </c>
      <c r="F58" s="10">
        <v>0.30767596755237459</v>
      </c>
      <c r="G58" s="18">
        <f t="shared" si="8"/>
        <v>622.36021097760022</v>
      </c>
      <c r="H58" s="18">
        <f t="shared" si="5"/>
        <v>562.15410761960584</v>
      </c>
      <c r="I58" s="10">
        <f t="shared" si="6"/>
        <v>0.81411515631603859</v>
      </c>
      <c r="J58" s="20"/>
    </row>
    <row r="59" spans="1:13" x14ac:dyDescent="0.25">
      <c r="A59" t="s">
        <v>1</v>
      </c>
      <c r="B59" s="18">
        <v>3877.7029709799999</v>
      </c>
      <c r="C59" s="18">
        <v>4192.1113199783786</v>
      </c>
      <c r="D59" s="21">
        <f>C59*'2017-18 budget'!G$12</f>
        <v>4716.7454620013486</v>
      </c>
      <c r="E59" s="5">
        <f t="shared" si="7"/>
        <v>2.7451625270530543E-2</v>
      </c>
      <c r="F59" s="10">
        <v>0.31122385603469793</v>
      </c>
      <c r="G59" s="18">
        <f t="shared" si="8"/>
        <v>140.32607200519988</v>
      </c>
      <c r="H59" s="18">
        <f t="shared" si="5"/>
        <v>126.02279828526571</v>
      </c>
      <c r="I59" s="10">
        <f t="shared" si="6"/>
        <v>0.82211410435844523</v>
      </c>
      <c r="J59" s="20"/>
    </row>
    <row r="60" spans="1:13" x14ac:dyDescent="0.25">
      <c r="A60" t="s">
        <v>2</v>
      </c>
      <c r="B60" s="18">
        <v>4303.1378796107001</v>
      </c>
      <c r="C60" s="18">
        <v>4386.4810189711525</v>
      </c>
      <c r="D60" s="21">
        <f>C60*'2017-18 budget'!G$12</f>
        <v>4935.4401305578758</v>
      </c>
      <c r="E60" s="5">
        <f t="shared" si="7"/>
        <v>4.6365586253987401E-2</v>
      </c>
      <c r="F60" s="10">
        <v>0.31809802838844864</v>
      </c>
      <c r="G60" s="18">
        <f t="shared" si="8"/>
        <v>425.43490863070019</v>
      </c>
      <c r="H60" s="18">
        <f t="shared" si="5"/>
        <v>218.69466855652718</v>
      </c>
      <c r="I60" s="10">
        <f t="shared" si="6"/>
        <v>0.87188533662230772</v>
      </c>
      <c r="J60" s="20"/>
    </row>
    <row r="61" spans="1:13" x14ac:dyDescent="0.25">
      <c r="A61" t="s">
        <v>3</v>
      </c>
      <c r="B61" s="18">
        <v>4825.1585243998998</v>
      </c>
      <c r="C61" s="18">
        <v>4825.1585243998998</v>
      </c>
      <c r="D61" s="21">
        <f>C61*'2017-18 budget'!G$12</f>
        <v>5429.0172269370305</v>
      </c>
      <c r="E61" s="5">
        <f t="shared" si="7"/>
        <v>0.10000670321642892</v>
      </c>
      <c r="F61" s="10">
        <v>0.33423789505620555</v>
      </c>
      <c r="G61" s="18">
        <f t="shared" si="8"/>
        <v>522.02064478919965</v>
      </c>
      <c r="H61" s="18">
        <f t="shared" si="5"/>
        <v>493.57709637915468</v>
      </c>
      <c r="I61" s="10">
        <f t="shared" si="6"/>
        <v>0.88877200471183282</v>
      </c>
      <c r="J61" s="20"/>
    </row>
    <row r="62" spans="1:13" x14ac:dyDescent="0.25">
      <c r="A62" t="s">
        <v>5</v>
      </c>
      <c r="B62" s="22">
        <f>'2017-18 budget'!B3</f>
        <v>5053.4743107269996</v>
      </c>
      <c r="C62" s="22">
        <f>'2017-18 budget'!B3/'2017-18 budget'!H3</f>
        <v>4935.5154905039553</v>
      </c>
      <c r="D62" s="22">
        <f>'2017-18 budget'!J3</f>
        <v>5553.1851412266315</v>
      </c>
      <c r="E62" s="5">
        <f t="shared" si="7"/>
        <v>2.2871158646084206E-2</v>
      </c>
      <c r="F62" s="26">
        <f>'2017-18 budget'!Z3*100</f>
        <v>0.33926978316613121</v>
      </c>
      <c r="G62" s="18">
        <f t="shared" si="8"/>
        <v>228.31578632709989</v>
      </c>
      <c r="H62" s="18">
        <f t="shared" si="5"/>
        <v>124.16791428960096</v>
      </c>
      <c r="I62" s="10">
        <f t="shared" si="6"/>
        <v>0.91001365562444547</v>
      </c>
      <c r="K62" s="5"/>
      <c r="L62" s="5"/>
      <c r="M62" s="8"/>
    </row>
    <row r="63" spans="1:13" x14ac:dyDescent="0.25">
      <c r="A63" t="s">
        <v>4</v>
      </c>
      <c r="B63" s="22">
        <f>'2017-18 budget'!B4</f>
        <v>5048.8999999999996</v>
      </c>
      <c r="C63" s="22">
        <f>'2017-18 budget'!B4/'2017-18 budget'!H4</f>
        <v>4786.4957813062983</v>
      </c>
      <c r="D63" s="22">
        <f>'2017-18 budget'!J4</f>
        <v>5385.5159207655597</v>
      </c>
      <c r="E63" s="5">
        <f t="shared" si="7"/>
        <v>-3.0193342414662525E-2</v>
      </c>
      <c r="F63" s="26">
        <f>'2017-18 budget'!Z4*100</f>
        <v>0.32612978530171316</v>
      </c>
      <c r="G63" s="18">
        <f t="shared" si="8"/>
        <v>-4.574310727000011</v>
      </c>
      <c r="H63" s="18">
        <f t="shared" si="5"/>
        <v>-167.66922046107175</v>
      </c>
      <c r="I63" s="10">
        <f t="shared" si="6"/>
        <v>0.93749606802430363</v>
      </c>
      <c r="K63" s="5"/>
      <c r="L63" s="5"/>
      <c r="M63" s="8"/>
    </row>
    <row r="64" spans="1:13" x14ac:dyDescent="0.25">
      <c r="A64" t="s">
        <v>45</v>
      </c>
      <c r="B64" s="22">
        <f>'2017-18 budget'!B5</f>
        <v>5027.8999999999996</v>
      </c>
      <c r="C64" s="22">
        <f>'2017-18 budget'!B5/'2017-18 budget'!H5</f>
        <v>4695.6824006521974</v>
      </c>
      <c r="D64" s="22">
        <f>'2017-18 budget'!J5</f>
        <v>5283.3374315999999</v>
      </c>
      <c r="E64" s="5">
        <f t="shared" si="7"/>
        <v>-1.8972832068247777E-2</v>
      </c>
      <c r="F64" s="26">
        <f>'2017-18 budget'!Z5*100</f>
        <v>0.31752357002613874</v>
      </c>
      <c r="G64" s="18">
        <f t="shared" si="8"/>
        <v>-21</v>
      </c>
      <c r="H64" s="18">
        <f t="shared" si="5"/>
        <v>-102.17848916555977</v>
      </c>
      <c r="I64" s="10">
        <f t="shared" si="6"/>
        <v>0.95165225865147063</v>
      </c>
      <c r="K64" s="5"/>
      <c r="L64" s="5"/>
      <c r="M64" s="8"/>
    </row>
    <row r="65" spans="1:13" x14ac:dyDescent="0.25">
      <c r="A65" t="s">
        <v>44</v>
      </c>
      <c r="B65" s="22">
        <f>'2017-18 budget'!B6</f>
        <v>4052</v>
      </c>
      <c r="C65" s="22">
        <f>'2017-18 budget'!B6/'2017-18 budget'!H6</f>
        <v>3746.7968512812768</v>
      </c>
      <c r="D65" s="22">
        <f>'2017-18 budget'!J6</f>
        <v>4215.7007999999996</v>
      </c>
      <c r="E65" s="5">
        <f t="shared" si="7"/>
        <v>-0.20207617730686539</v>
      </c>
      <c r="F65" s="26">
        <f>'2017-18 budget'!Z6*100</f>
        <v>0.2494749758498126</v>
      </c>
      <c r="G65" s="18">
        <f t="shared" si="8"/>
        <v>-975.89999999999964</v>
      </c>
      <c r="H65" s="18">
        <f t="shared" si="5"/>
        <v>-1067.6366316000003</v>
      </c>
      <c r="I65" s="10">
        <f t="shared" si="6"/>
        <v>0.96116878123798544</v>
      </c>
      <c r="K65" s="5"/>
      <c r="L65" s="5"/>
      <c r="M65" s="8"/>
    </row>
    <row r="66" spans="1:13" x14ac:dyDescent="0.25">
      <c r="A66" t="s">
        <v>43</v>
      </c>
      <c r="B66" s="22">
        <f>'2017-18 budget'!B7</f>
        <v>3828</v>
      </c>
      <c r="C66" s="22">
        <f>'2017-18 budget'!B7/'2017-18 budget'!H7</f>
        <v>3470.2636187176336</v>
      </c>
      <c r="D66" s="22">
        <f>'2017-18 budget'!J7</f>
        <v>3904.56</v>
      </c>
      <c r="E66" s="5">
        <f t="shared" si="7"/>
        <v>-7.380523779106897E-2</v>
      </c>
      <c r="F66" s="26">
        <f>'2017-18 budget'!Z7*100</f>
        <v>0.22234307948394519</v>
      </c>
      <c r="G66" s="18">
        <f t="shared" si="8"/>
        <v>-224</v>
      </c>
      <c r="H66" s="18">
        <f t="shared" si="5"/>
        <v>-311.14079999999967</v>
      </c>
      <c r="I66" s="10">
        <f t="shared" si="6"/>
        <v>0.98039215686274506</v>
      </c>
      <c r="K66" s="5"/>
      <c r="L66" s="5"/>
      <c r="M66" s="8"/>
    </row>
    <row r="67" spans="1:13" x14ac:dyDescent="0.25">
      <c r="A67" t="s">
        <v>42</v>
      </c>
      <c r="B67" s="22">
        <f>'2017-18 budget'!B8</f>
        <v>3912</v>
      </c>
      <c r="C67" s="22">
        <f>'2017-18 budget'!B8/'2017-18 budget'!H8</f>
        <v>3476.8760824326896</v>
      </c>
      <c r="D67" s="22">
        <f>'2017-18 budget'!J8</f>
        <v>3912</v>
      </c>
      <c r="E67" s="5">
        <f t="shared" si="7"/>
        <v>1.9054643801094246E-3</v>
      </c>
      <c r="F67" s="26">
        <f>'2017-18 budget'!Z8*100</f>
        <v>0.2184827704116413</v>
      </c>
      <c r="G67" s="18">
        <f t="shared" si="8"/>
        <v>84</v>
      </c>
      <c r="H67" s="18">
        <f t="shared" si="5"/>
        <v>7.4400000000000546</v>
      </c>
      <c r="I67" s="10">
        <f t="shared" si="6"/>
        <v>1</v>
      </c>
      <c r="K67" s="5"/>
      <c r="L67" s="5"/>
      <c r="M67" s="8"/>
    </row>
    <row r="68" spans="1:13" x14ac:dyDescent="0.25">
      <c r="A68" t="s">
        <v>84</v>
      </c>
      <c r="B68" s="22">
        <f>'2017-18 budget'!B9</f>
        <v>4010</v>
      </c>
      <c r="C68" s="22">
        <f>'2017-18 budget'!B9/'2017-18 budget'!H9</f>
        <v>3485.5508448845471</v>
      </c>
      <c r="D68" s="22">
        <f>'2017-18 budget'!J9</f>
        <v>3921.7603911980441</v>
      </c>
      <c r="E68" s="5">
        <f>(D68-D67)/D67</f>
        <v>2.4949875250623952E-3</v>
      </c>
      <c r="F68" s="26">
        <f>'2017-18 budget'!Z9*100</f>
        <v>0.21534231687280794</v>
      </c>
      <c r="G68" s="18">
        <f>B68-B67</f>
        <v>98</v>
      </c>
      <c r="H68" s="18">
        <f>D68-D67</f>
        <v>9.7603911980440898</v>
      </c>
      <c r="I68" s="10">
        <f t="shared" si="6"/>
        <v>1.0225</v>
      </c>
      <c r="K68" s="5"/>
      <c r="L68" s="5"/>
      <c r="M68" s="8"/>
    </row>
    <row r="69" spans="1:13" x14ac:dyDescent="0.25">
      <c r="A69" t="s">
        <v>138</v>
      </c>
      <c r="B69" s="22">
        <f>'2017-18 budget'!B10</f>
        <v>4010</v>
      </c>
      <c r="C69" s="22">
        <f>'2017-18 budget'!B10/'2017-18 budget'!H10</f>
        <v>3400.5374096434616</v>
      </c>
      <c r="D69" s="22">
        <f>'2017-18 budget'!J10</f>
        <v>3826.1076987298002</v>
      </c>
      <c r="E69" s="5">
        <f>(D69-D68)/D68</f>
        <v>-2.4390243902438755E-2</v>
      </c>
      <c r="F69" s="26">
        <f>'2017-18 budget'!Z10*100</f>
        <v>0.20606920274909854</v>
      </c>
      <c r="G69" s="18">
        <f>B69-B68</f>
        <v>0</v>
      </c>
      <c r="H69" s="18">
        <f>D69-D68</f>
        <v>-95.652692468243913</v>
      </c>
      <c r="I69" s="10">
        <f t="shared" si="6"/>
        <v>1.0480624999999997</v>
      </c>
    </row>
    <row r="70" spans="1:13" x14ac:dyDescent="0.25">
      <c r="A70" t="s">
        <v>178</v>
      </c>
      <c r="B70" s="22">
        <f>'2017-18 budget'!B11</f>
        <v>4010</v>
      </c>
      <c r="C70" s="22">
        <f>'2017-18 budget'!B11/'2017-18 budget'!H11</f>
        <v>3317.5974728228894</v>
      </c>
      <c r="D70" s="22">
        <f>'2017-18 budget'!J11</f>
        <v>3732.7879987607803</v>
      </c>
      <c r="E70" s="5">
        <f>(D70-D69)/D69</f>
        <v>-2.4390243902439122E-2</v>
      </c>
      <c r="F70" s="26">
        <f>'2017-18 budget'!Z11*100</f>
        <v>0.19672477589412746</v>
      </c>
      <c r="G70" s="18">
        <f t="shared" ref="G70" si="9">B70-B69</f>
        <v>0</v>
      </c>
      <c r="H70" s="18">
        <f>D70-D69</f>
        <v>-93.319699969019894</v>
      </c>
      <c r="I70" s="10">
        <f t="shared" si="6"/>
        <v>1.0742640624999997</v>
      </c>
    </row>
    <row r="71" spans="1:13" x14ac:dyDescent="0.25">
      <c r="B71" s="6"/>
    </row>
    <row r="72" spans="1:13" x14ac:dyDescent="0.25">
      <c r="B72" s="6"/>
    </row>
    <row r="73" spans="1:13" x14ac:dyDescent="0.25">
      <c r="B73" s="6"/>
    </row>
    <row r="74" spans="1:13" x14ac:dyDescent="0.25">
      <c r="B74" s="6"/>
    </row>
    <row r="75" spans="1:13" x14ac:dyDescent="0.25">
      <c r="B75" s="6"/>
    </row>
    <row r="76" spans="1:13" x14ac:dyDescent="0.25">
      <c r="B76" s="6"/>
    </row>
    <row r="77" spans="1:13" x14ac:dyDescent="0.25">
      <c r="B77" s="6"/>
    </row>
    <row r="78" spans="1:13" x14ac:dyDescent="0.25">
      <c r="B78" s="6"/>
    </row>
    <row r="79" spans="1:13" x14ac:dyDescent="0.25">
      <c r="B79" s="6"/>
    </row>
    <row r="80" spans="1:13" x14ac:dyDescent="0.25">
      <c r="B80" s="6"/>
    </row>
    <row r="81" spans="2:2" x14ac:dyDescent="0.25">
      <c r="B81" s="6"/>
    </row>
    <row r="82" spans="2:2" x14ac:dyDescent="0.25">
      <c r="B82" s="6"/>
    </row>
    <row r="83" spans="2:2" x14ac:dyDescent="0.25">
      <c r="B83" s="6"/>
    </row>
    <row r="84" spans="2:2" x14ac:dyDescent="0.25">
      <c r="B84" s="6"/>
    </row>
    <row r="85" spans="2:2" x14ac:dyDescent="0.25">
      <c r="B85" s="6"/>
    </row>
    <row r="86" spans="2:2" x14ac:dyDescent="0.25">
      <c r="B86" s="6"/>
    </row>
    <row r="87" spans="2:2" x14ac:dyDescent="0.25">
      <c r="B87" s="6"/>
    </row>
    <row r="88" spans="2:2" x14ac:dyDescent="0.25">
      <c r="B88" s="6"/>
    </row>
    <row r="89" spans="2:2" x14ac:dyDescent="0.25">
      <c r="B89" s="6"/>
    </row>
    <row r="90" spans="2:2" x14ac:dyDescent="0.25">
      <c r="B90" s="6"/>
    </row>
    <row r="91" spans="2:2" x14ac:dyDescent="0.25">
      <c r="B91" s="6"/>
    </row>
    <row r="92" spans="2:2" x14ac:dyDescent="0.25">
      <c r="B92" s="6"/>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6"/>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19" spans="2:2" x14ac:dyDescent="0.25">
      <c r="B119" s="6"/>
    </row>
    <row r="120" spans="2:2" x14ac:dyDescent="0.25">
      <c r="B120" s="6"/>
    </row>
    <row r="121" spans="2:2" x14ac:dyDescent="0.25">
      <c r="B121" s="6"/>
    </row>
    <row r="122" spans="2:2" x14ac:dyDescent="0.25">
      <c r="B122" s="6"/>
    </row>
    <row r="123" spans="2:2" x14ac:dyDescent="0.25">
      <c r="B123" s="6"/>
    </row>
    <row r="124" spans="2:2" x14ac:dyDescent="0.25">
      <c r="B124" s="6"/>
    </row>
    <row r="125" spans="2:2" x14ac:dyDescent="0.25">
      <c r="B125" s="6"/>
    </row>
    <row r="126" spans="2:2" x14ac:dyDescent="0.25">
      <c r="B126" s="6"/>
    </row>
    <row r="127" spans="2:2" x14ac:dyDescent="0.25">
      <c r="B127" s="6"/>
    </row>
    <row r="128" spans="2:2" x14ac:dyDescent="0.25">
      <c r="B128" s="6"/>
    </row>
    <row r="129" spans="2:2" x14ac:dyDescent="0.25">
      <c r="B129" s="6"/>
    </row>
    <row r="130" spans="2:2" x14ac:dyDescent="0.25">
      <c r="B130" s="6"/>
    </row>
    <row r="131" spans="2:2" x14ac:dyDescent="0.25">
      <c r="B131" s="6"/>
    </row>
    <row r="132" spans="2:2" x14ac:dyDescent="0.25">
      <c r="B132" s="6"/>
    </row>
    <row r="133" spans="2:2" x14ac:dyDescent="0.25">
      <c r="B133" s="6"/>
    </row>
    <row r="134" spans="2:2" x14ac:dyDescent="0.25">
      <c r="B134" s="6"/>
    </row>
    <row r="135" spans="2:2" x14ac:dyDescent="0.25">
      <c r="B135" s="6"/>
    </row>
    <row r="136" spans="2:2" x14ac:dyDescent="0.25">
      <c r="B136"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sheetData>
  <mergeCells count="3">
    <mergeCell ref="C7:D7"/>
    <mergeCell ref="C8:D8"/>
    <mergeCell ref="C9:D9"/>
  </mergeCells>
  <hyperlinks>
    <hyperlink ref="Q3"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7"/>
  <sheetViews>
    <sheetView zoomScale="80" zoomScaleNormal="80" workbookViewId="0">
      <selection activeCell="H34" sqref="H34"/>
    </sheetView>
  </sheetViews>
  <sheetFormatPr defaultRowHeight="15" x14ac:dyDescent="0.25"/>
  <cols>
    <col min="1" max="1" width="29.140625" bestFit="1" customWidth="1"/>
    <col min="2" max="2" width="16.7109375" bestFit="1" customWidth="1"/>
    <col min="3" max="3" width="19.5703125" bestFit="1" customWidth="1"/>
    <col min="4" max="4" width="25.7109375" customWidth="1"/>
    <col min="5" max="5" width="12.85546875" customWidth="1"/>
    <col min="6" max="6" width="19.7109375" customWidth="1"/>
    <col min="7" max="7" width="14.28515625" bestFit="1" customWidth="1"/>
    <col min="8" max="8" width="15" customWidth="1"/>
  </cols>
  <sheetData>
    <row r="1" spans="1:8" s="15" customFormat="1" ht="45" x14ac:dyDescent="0.25">
      <c r="C1" s="15" t="s">
        <v>101</v>
      </c>
      <c r="D1" s="15" t="s">
        <v>102</v>
      </c>
      <c r="E1" s="15" t="s">
        <v>103</v>
      </c>
      <c r="F1" s="15" t="s">
        <v>57</v>
      </c>
      <c r="G1" s="15" t="s">
        <v>58</v>
      </c>
      <c r="H1" s="15" t="s">
        <v>72</v>
      </c>
    </row>
    <row r="2" spans="1:8" x14ac:dyDescent="0.25">
      <c r="A2" t="s">
        <v>69</v>
      </c>
      <c r="B2" t="s">
        <v>16</v>
      </c>
      <c r="C2">
        <f>'ODA-GNI time series'!B34</f>
        <v>1011.4</v>
      </c>
      <c r="D2" s="6">
        <f>'ODA-GNI time series'!D34</f>
        <v>3034.5990336870914</v>
      </c>
      <c r="G2" s="1">
        <f>'ODA-GNI time series'!F34/100</f>
        <v>4.3546400985111384E-3</v>
      </c>
    </row>
    <row r="3" spans="1:8" x14ac:dyDescent="0.25">
      <c r="B3" t="s">
        <v>17</v>
      </c>
      <c r="C3">
        <f>'ODA-GNI time series'!B35</f>
        <v>1031</v>
      </c>
      <c r="D3" s="6">
        <f>'ODA-GNI time series'!D35</f>
        <v>2907.3371866468419</v>
      </c>
      <c r="E3" s="6">
        <f>D3-D2</f>
        <v>-127.26184704024945</v>
      </c>
      <c r="F3" s="3">
        <f>E3/D2</f>
        <v>-4.1936956292253233E-2</v>
      </c>
      <c r="G3" s="1">
        <f>'ODA-GNI time series'!F35/100</f>
        <v>4.0233047292366651E-3</v>
      </c>
      <c r="H3" s="1">
        <f>G3-G2</f>
        <v>-3.3133536927447329E-4</v>
      </c>
    </row>
    <row r="4" spans="1:8" x14ac:dyDescent="0.25">
      <c r="B4" t="s">
        <v>18</v>
      </c>
      <c r="C4">
        <f>'ODA-GNI time series'!B36</f>
        <v>975.6</v>
      </c>
      <c r="D4" s="6">
        <f>'ODA-GNI time series'!D36</f>
        <v>2552.7775371794623</v>
      </c>
      <c r="E4" s="6">
        <f>D4-D3</f>
        <v>-354.55964946737959</v>
      </c>
      <c r="F4" s="3">
        <f>E4/D3</f>
        <v>-0.12195339814585064</v>
      </c>
      <c r="G4" s="1">
        <f>'ODA-GNI time series'!F36/100</f>
        <v>3.469170044804779E-3</v>
      </c>
      <c r="H4" s="1">
        <f>G4-G3</f>
        <v>-5.5413468443188613E-4</v>
      </c>
    </row>
    <row r="5" spans="1:8" x14ac:dyDescent="0.25">
      <c r="B5" t="s">
        <v>19</v>
      </c>
      <c r="C5">
        <f>'ODA-GNI time series'!B37</f>
        <v>1019.6</v>
      </c>
      <c r="D5" s="6">
        <f>'ODA-GNI time series'!D37</f>
        <v>2504.8053511589269</v>
      </c>
      <c r="E5" s="6">
        <f>D5-D4</f>
        <v>-47.972186020535446</v>
      </c>
      <c r="F5" s="3">
        <f>E5/D4</f>
        <v>-1.8792152987032087E-2</v>
      </c>
      <c r="G5" s="1">
        <f>'ODA-GNI time series'!F37/100</f>
        <v>3.1995882836574974E-3</v>
      </c>
      <c r="H5" s="1">
        <f>G5-G4</f>
        <v>-2.6958176114728156E-4</v>
      </c>
    </row>
    <row r="6" spans="1:8" x14ac:dyDescent="0.25">
      <c r="B6" t="s">
        <v>20</v>
      </c>
      <c r="C6">
        <f>'ODA-GNI time series'!B38</f>
        <v>1194.5999999999999</v>
      </c>
      <c r="D6" s="6">
        <f>'ODA-GNI time series'!D38</f>
        <v>2698.9994824383052</v>
      </c>
      <c r="E6" s="6">
        <f>D6-D5</f>
        <v>194.19413127937833</v>
      </c>
      <c r="F6" s="3">
        <f>E6/D5</f>
        <v>7.7528631591883307E-2</v>
      </c>
      <c r="G6" s="1">
        <f>'ODA-GNI time series'!F38/100</f>
        <v>3.3333054302240894E-3</v>
      </c>
      <c r="H6" s="1">
        <f>G6-G5</f>
        <v>1.3371714656659197E-4</v>
      </c>
    </row>
    <row r="7" spans="1:8" x14ac:dyDescent="0.25">
      <c r="B7" t="s">
        <v>21</v>
      </c>
      <c r="C7">
        <f>'ODA-GNI time series'!B39</f>
        <v>1173.8</v>
      </c>
      <c r="D7" s="6">
        <f>'ODA-GNI time series'!D39</f>
        <v>2506.0695728152859</v>
      </c>
      <c r="E7" s="6">
        <f>D7-D6</f>
        <v>-192.92990962301928</v>
      </c>
      <c r="F7" s="3">
        <f>E7/D6</f>
        <v>-7.1482010603693899E-2</v>
      </c>
      <c r="G7" s="1">
        <f>'ODA-GNI time series'!F39/100</f>
        <v>3.004343474933517E-3</v>
      </c>
      <c r="H7" s="1">
        <f>G7-G6</f>
        <v>-3.2896195529057235E-4</v>
      </c>
    </row>
    <row r="8" spans="1:8" x14ac:dyDescent="0.25">
      <c r="D8" s="6"/>
      <c r="E8" s="6"/>
    </row>
    <row r="9" spans="1:8" x14ac:dyDescent="0.25">
      <c r="A9" t="s">
        <v>70</v>
      </c>
      <c r="B9" t="s">
        <v>27</v>
      </c>
      <c r="C9">
        <f>'ODA-GNI time series'!B45</f>
        <v>1556.5</v>
      </c>
      <c r="D9" s="6">
        <f>'ODA-GNI time series'!D45</f>
        <v>2923.6941330852228</v>
      </c>
      <c r="E9" s="6"/>
      <c r="G9" s="3">
        <f>'ODA-GNI time series'!F45/100</f>
        <v>3.0484461052747032E-3</v>
      </c>
    </row>
    <row r="10" spans="1:8" x14ac:dyDescent="0.25">
      <c r="B10" t="s">
        <v>28</v>
      </c>
      <c r="C10">
        <f>'ODA-GNI time series'!B46</f>
        <v>1432</v>
      </c>
      <c r="D10" s="6">
        <f>'ODA-GNI time series'!D46</f>
        <v>2650.0195161506981</v>
      </c>
      <c r="E10" s="6">
        <f>D10-D9</f>
        <v>-273.67461693452469</v>
      </c>
      <c r="F10" s="3">
        <f>E10/D9</f>
        <v>-9.3605761915228139E-2</v>
      </c>
      <c r="G10" s="3">
        <f>'ODA-GNI time series'!F46/100</f>
        <v>2.6606418241003609E-3</v>
      </c>
      <c r="H10" s="3">
        <f>G10-G9</f>
        <v>-3.8780428117434233E-4</v>
      </c>
    </row>
    <row r="11" spans="1:8" x14ac:dyDescent="0.25">
      <c r="B11" t="s">
        <v>29</v>
      </c>
      <c r="C11">
        <f>'ODA-GNI time series'!B47</f>
        <v>1443</v>
      </c>
      <c r="D11" s="6">
        <f>'ODA-GNI time series'!D47</f>
        <v>2635.695605974885</v>
      </c>
      <c r="E11" s="6">
        <f>D11-D10</f>
        <v>-14.323910175813126</v>
      </c>
      <c r="F11" s="3">
        <f>E11/D10</f>
        <v>-5.4052093158239861E-3</v>
      </c>
      <c r="G11" s="3">
        <f>'ODA-GNI time series'!F47/100</f>
        <v>2.5295686060025978E-3</v>
      </c>
      <c r="H11" s="3">
        <f>G11-G10</f>
        <v>-1.3107321809776315E-4</v>
      </c>
    </row>
    <row r="12" spans="1:8" x14ac:dyDescent="0.25">
      <c r="B12" t="s">
        <v>30</v>
      </c>
      <c r="C12">
        <f>'ODA-GNI time series'!B48</f>
        <v>1528.6</v>
      </c>
      <c r="D12" s="6">
        <f>'ODA-GNI time series'!D48</f>
        <v>2778.5156023996597</v>
      </c>
      <c r="E12" s="6">
        <f>D12-D11</f>
        <v>142.81999642477467</v>
      </c>
      <c r="F12" s="3">
        <f>E12/D11</f>
        <v>5.4186832539013449E-2</v>
      </c>
      <c r="G12" s="3">
        <f>'ODA-GNI time series'!F48/100</f>
        <v>2.5427337631661246E-3</v>
      </c>
      <c r="H12" s="3">
        <f>G12-G11</f>
        <v>1.3165157163526862E-5</v>
      </c>
    </row>
    <row r="13" spans="1:8" x14ac:dyDescent="0.25">
      <c r="B13" t="s">
        <v>31</v>
      </c>
      <c r="C13">
        <f>'ODA-GNI time series'!B49</f>
        <v>1748.7</v>
      </c>
      <c r="D13" s="6">
        <f>'ODA-GNI time series'!D49</f>
        <v>3098.4979872418699</v>
      </c>
      <c r="E13" s="6">
        <f>D13-D12</f>
        <v>319.98238484221019</v>
      </c>
      <c r="F13" s="3">
        <f>E13/D12</f>
        <v>0.11516306928989638</v>
      </c>
      <c r="G13" s="3">
        <f>'ODA-GNI time series'!F49/100</f>
        <v>2.7236451084349362E-3</v>
      </c>
      <c r="H13" s="3">
        <f>G13-G12</f>
        <v>1.8091134526881155E-4</v>
      </c>
    </row>
    <row r="14" spans="1:8" x14ac:dyDescent="0.25">
      <c r="B14" t="s">
        <v>32</v>
      </c>
      <c r="C14">
        <f>'ODA-GNI time series'!B50</f>
        <v>1623.1</v>
      </c>
      <c r="D14" s="6">
        <f>'ODA-GNI time series'!D50</f>
        <v>2754.491160262553</v>
      </c>
      <c r="E14" s="6">
        <f>D14-D13</f>
        <v>-344.00682697931688</v>
      </c>
      <c r="F14" s="3">
        <f>E14/D13</f>
        <v>-0.11102373743529032</v>
      </c>
      <c r="G14" s="3">
        <f>'ODA-GNI time series'!F50/100</f>
        <v>2.3668250771759088E-3</v>
      </c>
      <c r="H14" s="3">
        <f>G14-G13</f>
        <v>-3.5682003125902736E-4</v>
      </c>
    </row>
    <row r="15" spans="1:8" x14ac:dyDescent="0.25">
      <c r="E15" s="6"/>
    </row>
    <row r="16" spans="1:8" x14ac:dyDescent="0.25">
      <c r="A16" t="s">
        <v>71</v>
      </c>
      <c r="B16" t="s">
        <v>5</v>
      </c>
      <c r="C16">
        <f>'ODA-GNI time series'!B62</f>
        <v>5053.4743107269996</v>
      </c>
      <c r="D16" s="6" t="e">
        <f>#REF!</f>
        <v>#REF!</v>
      </c>
      <c r="E16" s="6"/>
      <c r="G16" s="3">
        <f>'ODA-GNI time series'!F62/100</f>
        <v>3.3926978316613119E-3</v>
      </c>
    </row>
    <row r="17" spans="1:8" x14ac:dyDescent="0.25">
      <c r="B17" t="s">
        <v>4</v>
      </c>
      <c r="C17">
        <f>'ODA-GNI time series'!B63</f>
        <v>5048.8999999999996</v>
      </c>
      <c r="D17" s="6" t="e">
        <f>#REF!</f>
        <v>#REF!</v>
      </c>
      <c r="E17" s="6" t="e">
        <f>D17-D16</f>
        <v>#REF!</v>
      </c>
      <c r="F17" s="11" t="e">
        <f>E17/D16*100</f>
        <v>#REF!</v>
      </c>
      <c r="G17" s="3">
        <f>'ODA-GNI time series'!F63/100</f>
        <v>3.2612978530171316E-3</v>
      </c>
      <c r="H17" s="3">
        <f>G17-G16</f>
        <v>-1.3139997864418038E-4</v>
      </c>
    </row>
    <row r="18" spans="1:8" x14ac:dyDescent="0.25">
      <c r="B18" t="s">
        <v>45</v>
      </c>
      <c r="C18">
        <f>'ODA-GNI time series'!B64</f>
        <v>5027.8999999999996</v>
      </c>
      <c r="D18" s="6" t="e">
        <f>#REF!</f>
        <v>#REF!</v>
      </c>
      <c r="E18" s="6" t="e">
        <f>D18-D17</f>
        <v>#REF!</v>
      </c>
      <c r="F18" s="11" t="e">
        <f>E18/D17*100</f>
        <v>#REF!</v>
      </c>
      <c r="G18" s="3">
        <f>'ODA-GNI time series'!F64/100</f>
        <v>3.1752357002613873E-3</v>
      </c>
      <c r="H18" s="3">
        <f>G18-G17</f>
        <v>-8.6062152755744283E-5</v>
      </c>
    </row>
    <row r="19" spans="1:8" x14ac:dyDescent="0.25">
      <c r="B19" t="s">
        <v>44</v>
      </c>
      <c r="C19">
        <f>'ODA-GNI time series'!B65</f>
        <v>4052</v>
      </c>
      <c r="D19" s="6" t="e">
        <f>#REF!</f>
        <v>#REF!</v>
      </c>
      <c r="E19" s="6" t="e">
        <f>D19-D18</f>
        <v>#REF!</v>
      </c>
      <c r="F19" s="11" t="e">
        <f>E19/D18*100</f>
        <v>#REF!</v>
      </c>
      <c r="G19" s="3">
        <f>'ODA-GNI time series'!F65/100</f>
        <v>2.494749758498126E-3</v>
      </c>
      <c r="H19" s="3">
        <f>G19-G18</f>
        <v>-6.8048594176326133E-4</v>
      </c>
    </row>
    <row r="20" spans="1:8" x14ac:dyDescent="0.25">
      <c r="B20" t="s">
        <v>43</v>
      </c>
      <c r="C20">
        <f>'ODA-GNI time series'!B66</f>
        <v>3828</v>
      </c>
      <c r="D20" s="6" t="e">
        <f>#REF!</f>
        <v>#REF!</v>
      </c>
      <c r="E20" s="6" t="e">
        <f>D20-D19</f>
        <v>#REF!</v>
      </c>
      <c r="F20" s="11" t="e">
        <f>E20/D19*100</f>
        <v>#REF!</v>
      </c>
      <c r="G20" s="3">
        <f>'ODA-GNI time series'!F66/100</f>
        <v>2.2234307948394518E-3</v>
      </c>
      <c r="H20" s="3">
        <f>G20-G19</f>
        <v>-2.7131896365867412E-4</v>
      </c>
    </row>
    <row r="21" spans="1:8" x14ac:dyDescent="0.25">
      <c r="B21" t="s">
        <v>42</v>
      </c>
      <c r="C21">
        <f>'ODA-GNI time series'!B67</f>
        <v>3912</v>
      </c>
      <c r="D21" s="6" t="e">
        <f>#REF!</f>
        <v>#REF!</v>
      </c>
      <c r="E21" s="6" t="e">
        <f>D21-D20</f>
        <v>#REF!</v>
      </c>
      <c r="F21" s="11" t="e">
        <f>E21/D20*100</f>
        <v>#REF!</v>
      </c>
      <c r="G21" s="3">
        <f>'ODA-GNI time series'!F67/100</f>
        <v>2.184827704116413E-3</v>
      </c>
      <c r="H21" s="3">
        <f>G21-G20</f>
        <v>-3.8603090723038792E-5</v>
      </c>
    </row>
    <row r="23" spans="1:8" x14ac:dyDescent="0.25">
      <c r="B23" t="s">
        <v>74</v>
      </c>
    </row>
    <row r="24" spans="1:8" x14ac:dyDescent="0.25">
      <c r="B24" t="s">
        <v>104</v>
      </c>
      <c r="C24" t="s">
        <v>79</v>
      </c>
    </row>
    <row r="25" spans="1:8" x14ac:dyDescent="0.25">
      <c r="A25" t="s">
        <v>80</v>
      </c>
      <c r="B25" s="6">
        <f>-(E3+E4+E5)</f>
        <v>529.79368252816448</v>
      </c>
      <c r="C25" s="12">
        <f>B25/D2</f>
        <v>0.17458441021265858</v>
      </c>
    </row>
    <row r="26" spans="1:8" x14ac:dyDescent="0.25">
      <c r="A26" t="s">
        <v>81</v>
      </c>
      <c r="B26" s="6">
        <f>-(E10+E11)</f>
        <v>287.99852711033782</v>
      </c>
      <c r="C26" s="12">
        <f>B26/D9</f>
        <v>9.8505012494733132E-2</v>
      </c>
    </row>
    <row r="27" spans="1:8" x14ac:dyDescent="0.25">
      <c r="A27" t="s">
        <v>83</v>
      </c>
      <c r="B27" s="6" t="e">
        <f>-(SUM(E17:E20))</f>
        <v>#REF!</v>
      </c>
      <c r="C27" s="12" t="e">
        <f>B27/D16</f>
        <v>#REF!</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2017-18 budget</vt:lpstr>
      <vt:lpstr>ODA-exp time series</vt:lpstr>
      <vt:lpstr>ODA-GNI time series</vt:lpstr>
      <vt:lpstr>Historic cuts comparison</vt:lpstr>
    </vt:vector>
  </TitlesOfParts>
  <Company>ANU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Parima Panpruet</dc:creator>
  <cp:lastModifiedBy>Camilla Burkot</cp:lastModifiedBy>
  <cp:lastPrinted>2014-05-13T04:37:30Z</cp:lastPrinted>
  <dcterms:created xsi:type="dcterms:W3CDTF">2013-08-28T03:04:12Z</dcterms:created>
  <dcterms:modified xsi:type="dcterms:W3CDTF">2017-05-22T00:23:08Z</dcterms:modified>
</cp:coreProperties>
</file>