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 (Devpolicy)\Devpolicy\Research\Datasets\Australian aid statistics\The two budget spreadsheets (latest versions)\"/>
    </mc:Choice>
  </mc:AlternateContent>
  <bookViews>
    <workbookView xWindow="75" yWindow="240" windowWidth="18690" windowHeight="10770" tabRatio="714" activeTab="1"/>
  </bookViews>
  <sheets>
    <sheet name="2016-17 budget" sheetId="12" r:id="rId1"/>
    <sheet name="ODA-exp time series" sheetId="13" r:id="rId2"/>
    <sheet name="ODA-GNI time series" sheetId="8" r:id="rId3"/>
    <sheet name="Historic cuts comparison" sheetId="9" state="hidden" r:id="rId4"/>
  </sheets>
  <calcPr calcId="152511" concurrentCalc="0"/>
</workbook>
</file>

<file path=xl/calcChain.xml><?xml version="1.0" encoding="utf-8"?>
<calcChain xmlns="http://schemas.openxmlformats.org/spreadsheetml/2006/main">
  <c r="D51" i="8" l="1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Z3" i="12"/>
  <c r="F52" i="8"/>
  <c r="B59" i="8"/>
  <c r="B28" i="13"/>
  <c r="C28" i="13"/>
  <c r="D28" i="13"/>
  <c r="C21" i="13"/>
  <c r="C22" i="13"/>
  <c r="C23" i="13"/>
  <c r="C24" i="13"/>
  <c r="C25" i="13"/>
  <c r="C26" i="13"/>
  <c r="C27" i="13"/>
  <c r="E10" i="12"/>
  <c r="C10" i="12"/>
  <c r="H3" i="12"/>
  <c r="H4" i="12"/>
  <c r="H5" i="12"/>
  <c r="H6" i="12"/>
  <c r="H7" i="12"/>
  <c r="H8" i="12"/>
  <c r="H9" i="12"/>
  <c r="H10" i="12"/>
  <c r="I10" i="12"/>
  <c r="J10" i="12"/>
  <c r="D59" i="8"/>
  <c r="I9" i="12"/>
  <c r="J9" i="12"/>
  <c r="D58" i="8"/>
  <c r="H59" i="8"/>
  <c r="B58" i="8"/>
  <c r="G59" i="8"/>
  <c r="W6" i="12"/>
  <c r="W7" i="12"/>
  <c r="W8" i="12"/>
  <c r="W9" i="12"/>
  <c r="W10" i="12"/>
  <c r="Z10" i="12"/>
  <c r="F59" i="8"/>
  <c r="R10" i="12"/>
  <c r="I4" i="12"/>
  <c r="R4" i="12"/>
  <c r="S10" i="12"/>
  <c r="T10" i="12"/>
  <c r="Q10" i="12"/>
  <c r="E59" i="8"/>
  <c r="C59" i="8"/>
  <c r="D10" i="12"/>
  <c r="F10" i="12"/>
  <c r="AA10" i="12"/>
  <c r="AC10" i="12"/>
  <c r="Z5" i="12"/>
  <c r="F54" i="8"/>
  <c r="Z6" i="12"/>
  <c r="F55" i="8"/>
  <c r="Z7" i="12"/>
  <c r="F56" i="8"/>
  <c r="Z8" i="12"/>
  <c r="F57" i="8"/>
  <c r="Z9" i="12"/>
  <c r="F58" i="8"/>
  <c r="Z4" i="12"/>
  <c r="F53" i="8"/>
  <c r="J4" i="12"/>
  <c r="D53" i="8"/>
  <c r="I5" i="12"/>
  <c r="J5" i="12"/>
  <c r="D54" i="8"/>
  <c r="I6" i="12"/>
  <c r="J6" i="12"/>
  <c r="D55" i="8"/>
  <c r="J7" i="12"/>
  <c r="D56" i="8"/>
  <c r="I8" i="12"/>
  <c r="J8" i="12"/>
  <c r="D57" i="8"/>
  <c r="I3" i="12"/>
  <c r="J3" i="12"/>
  <c r="D52" i="8"/>
  <c r="C53" i="8"/>
  <c r="C54" i="8"/>
  <c r="C55" i="8"/>
  <c r="C56" i="8"/>
  <c r="C57" i="8"/>
  <c r="C58" i="8"/>
  <c r="C52" i="8"/>
  <c r="B53" i="8"/>
  <c r="B54" i="8"/>
  <c r="B55" i="8"/>
  <c r="B56" i="8"/>
  <c r="B57" i="8"/>
  <c r="B52" i="8"/>
  <c r="G11" i="12"/>
  <c r="AB10" i="12"/>
  <c r="R3" i="12"/>
  <c r="T3" i="12"/>
  <c r="V10" i="12"/>
  <c r="R9" i="12"/>
  <c r="T9" i="12"/>
  <c r="U10" i="12"/>
  <c r="N10" i="12"/>
  <c r="L10" i="12"/>
  <c r="M10" i="12"/>
  <c r="K10" i="12"/>
  <c r="I59" i="8"/>
  <c r="AC9" i="12"/>
  <c r="AC8" i="12"/>
  <c r="AC7" i="12"/>
  <c r="AC6" i="12"/>
  <c r="AC5" i="12"/>
  <c r="AB9" i="12"/>
  <c r="AB8" i="12"/>
  <c r="AB7" i="12"/>
  <c r="AB6" i="12"/>
  <c r="AB5" i="12"/>
  <c r="B27" i="13"/>
  <c r="B5" i="13"/>
  <c r="D5" i="13"/>
  <c r="B6" i="13"/>
  <c r="B7" i="13"/>
  <c r="D7" i="13"/>
  <c r="B8" i="13"/>
  <c r="B9" i="13"/>
  <c r="B10" i="13"/>
  <c r="B11" i="13"/>
  <c r="D11" i="13"/>
  <c r="B12" i="13"/>
  <c r="B13" i="13"/>
  <c r="D13" i="13"/>
  <c r="B14" i="13"/>
  <c r="B15" i="13"/>
  <c r="D15" i="13"/>
  <c r="B16" i="13"/>
  <c r="D16" i="13"/>
  <c r="B17" i="13"/>
  <c r="B18" i="13"/>
  <c r="D18" i="13"/>
  <c r="B19" i="13"/>
  <c r="D19" i="13"/>
  <c r="B20" i="13"/>
  <c r="D20" i="13"/>
  <c r="B4" i="13"/>
  <c r="D4" i="13"/>
  <c r="D17" i="13"/>
  <c r="D14" i="13"/>
  <c r="D12" i="13"/>
  <c r="D10" i="13"/>
  <c r="D9" i="13"/>
  <c r="D8" i="13"/>
  <c r="D6" i="13"/>
  <c r="D27" i="13"/>
  <c r="AA9" i="12"/>
  <c r="Q9" i="12"/>
  <c r="E9" i="12"/>
  <c r="D9" i="12"/>
  <c r="F9" i="12"/>
  <c r="C9" i="12"/>
  <c r="AA8" i="12"/>
  <c r="Q8" i="12"/>
  <c r="E8" i="12"/>
  <c r="D8" i="12"/>
  <c r="F8" i="12"/>
  <c r="C8" i="12"/>
  <c r="AA7" i="12"/>
  <c r="Q7" i="12"/>
  <c r="E7" i="12"/>
  <c r="D7" i="12"/>
  <c r="F7" i="12"/>
  <c r="C7" i="12"/>
  <c r="AA6" i="12"/>
  <c r="Q6" i="12"/>
  <c r="E6" i="12"/>
  <c r="D6" i="12"/>
  <c r="F6" i="12"/>
  <c r="C6" i="12"/>
  <c r="AA5" i="12"/>
  <c r="Q5" i="12"/>
  <c r="E5" i="12"/>
  <c r="D5" i="12"/>
  <c r="F5" i="12"/>
  <c r="C5" i="12"/>
  <c r="AA4" i="12"/>
  <c r="Q4" i="12"/>
  <c r="E4" i="12"/>
  <c r="D4" i="12"/>
  <c r="F4" i="12"/>
  <c r="C4" i="12"/>
  <c r="AA3" i="12"/>
  <c r="I49" i="8"/>
  <c r="I27" i="8"/>
  <c r="I32" i="8"/>
  <c r="I38" i="8"/>
  <c r="I43" i="8"/>
  <c r="I14" i="8"/>
  <c r="I19" i="8"/>
  <c r="I24" i="8"/>
  <c r="I30" i="8"/>
  <c r="I35" i="8"/>
  <c r="I40" i="8"/>
  <c r="I46" i="8"/>
  <c r="I51" i="8"/>
  <c r="I15" i="8"/>
  <c r="I20" i="8"/>
  <c r="I26" i="8"/>
  <c r="I31" i="8"/>
  <c r="I36" i="8"/>
  <c r="I42" i="8"/>
  <c r="I11" i="8"/>
  <c r="I22" i="8"/>
  <c r="I12" i="8"/>
  <c r="I18" i="8"/>
  <c r="I23" i="8"/>
  <c r="I28" i="8"/>
  <c r="I34" i="8"/>
  <c r="I39" i="8"/>
  <c r="I44" i="8"/>
  <c r="I13" i="8"/>
  <c r="I17" i="8"/>
  <c r="I21" i="8"/>
  <c r="I25" i="8"/>
  <c r="I33" i="8"/>
  <c r="I37" i="8"/>
  <c r="I45" i="8"/>
  <c r="R5" i="12"/>
  <c r="E16" i="8"/>
  <c r="I16" i="8"/>
  <c r="E49" i="8"/>
  <c r="I48" i="8"/>
  <c r="E29" i="8"/>
  <c r="I29" i="8"/>
  <c r="E47" i="8"/>
  <c r="I47" i="8"/>
  <c r="E41" i="8"/>
  <c r="I41" i="8"/>
  <c r="E50" i="8"/>
  <c r="I50" i="8"/>
  <c r="E45" i="8"/>
  <c r="E15" i="8"/>
  <c r="E20" i="8"/>
  <c r="E35" i="8"/>
  <c r="E43" i="8"/>
  <c r="E36" i="8"/>
  <c r="E24" i="8"/>
  <c r="E27" i="8"/>
  <c r="E28" i="8"/>
  <c r="E12" i="8"/>
  <c r="E25" i="8"/>
  <c r="E40" i="8"/>
  <c r="E39" i="8"/>
  <c r="E46" i="8"/>
  <c r="E23" i="8"/>
  <c r="E13" i="8"/>
  <c r="E44" i="8"/>
  <c r="E26" i="8"/>
  <c r="E38" i="8"/>
  <c r="E22" i="8"/>
  <c r="E33" i="8"/>
  <c r="E17" i="8"/>
  <c r="E18" i="8"/>
  <c r="E32" i="8"/>
  <c r="E51" i="8"/>
  <c r="E30" i="8"/>
  <c r="E48" i="8"/>
  <c r="E19" i="8"/>
  <c r="E31" i="8"/>
  <c r="E14" i="8"/>
  <c r="E42" i="8"/>
  <c r="E34" i="8"/>
  <c r="E37" i="8"/>
  <c r="E21" i="8"/>
  <c r="T5" i="12"/>
  <c r="L4" i="12"/>
  <c r="M4" i="12"/>
  <c r="S4" i="12"/>
  <c r="R6" i="12"/>
  <c r="S6" i="12"/>
  <c r="S5" i="12"/>
  <c r="K4" i="12"/>
  <c r="L5" i="12"/>
  <c r="M5" i="12"/>
  <c r="R7" i="12"/>
  <c r="N4" i="12"/>
  <c r="K6" i="12"/>
  <c r="N6" i="12"/>
  <c r="N5" i="12"/>
  <c r="K5" i="12"/>
  <c r="T6" i="12"/>
  <c r="U6" i="12"/>
  <c r="T4" i="12"/>
  <c r="U5" i="12"/>
  <c r="L6" i="12"/>
  <c r="M6" i="12"/>
  <c r="B21" i="13"/>
  <c r="D21" i="13"/>
  <c r="B22" i="13"/>
  <c r="D22" i="13"/>
  <c r="B25" i="13"/>
  <c r="D25" i="13"/>
  <c r="B23" i="13"/>
  <c r="D23" i="13"/>
  <c r="B26" i="13"/>
  <c r="D26" i="13"/>
  <c r="G58" i="8"/>
  <c r="B24" i="13"/>
  <c r="D24" i="13"/>
  <c r="R8" i="12"/>
  <c r="V5" i="12"/>
  <c r="T7" i="12"/>
  <c r="S7" i="12"/>
  <c r="U4" i="12"/>
  <c r="L7" i="12"/>
  <c r="M7" i="12"/>
  <c r="N7" i="12"/>
  <c r="K7" i="12"/>
  <c r="V4" i="12"/>
  <c r="V6" i="12"/>
  <c r="U7" i="12"/>
  <c r="V7" i="12"/>
  <c r="T8" i="12"/>
  <c r="S8" i="12"/>
  <c r="K8" i="12"/>
  <c r="N8" i="12"/>
  <c r="L8" i="12"/>
  <c r="M8" i="12"/>
  <c r="S9" i="12"/>
  <c r="N9" i="12"/>
  <c r="L9" i="12"/>
  <c r="M9" i="12"/>
  <c r="K9" i="12"/>
  <c r="U9" i="12"/>
  <c r="V9" i="12"/>
  <c r="U8" i="12"/>
  <c r="V8" i="12"/>
  <c r="G12" i="8"/>
  <c r="I55" i="8"/>
  <c r="I52" i="8"/>
  <c r="E52" i="8"/>
  <c r="I54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E53" i="8"/>
  <c r="I53" i="8"/>
  <c r="E56" i="8"/>
  <c r="I56" i="8"/>
  <c r="E54" i="8"/>
  <c r="E55" i="8"/>
  <c r="G16" i="9"/>
  <c r="D16" i="9"/>
  <c r="G10" i="9"/>
  <c r="G11" i="9"/>
  <c r="G12" i="9"/>
  <c r="G13" i="9"/>
  <c r="G14" i="9"/>
  <c r="G9" i="9"/>
  <c r="C10" i="9"/>
  <c r="C11" i="9"/>
  <c r="C12" i="9"/>
  <c r="C13" i="9"/>
  <c r="C14" i="9"/>
  <c r="C9" i="9"/>
  <c r="G3" i="9"/>
  <c r="G4" i="9"/>
  <c r="G5" i="9"/>
  <c r="G6" i="9"/>
  <c r="G7" i="9"/>
  <c r="G2" i="9"/>
  <c r="C3" i="9"/>
  <c r="C4" i="9"/>
  <c r="C5" i="9"/>
  <c r="C6" i="9"/>
  <c r="C7" i="9"/>
  <c r="C2" i="9"/>
  <c r="I58" i="8"/>
  <c r="E57" i="8"/>
  <c r="E58" i="8"/>
  <c r="I57" i="8"/>
  <c r="H4" i="9"/>
  <c r="H3" i="9"/>
  <c r="H58" i="8"/>
  <c r="H12" i="8"/>
  <c r="H40" i="8"/>
  <c r="H28" i="8"/>
  <c r="H24" i="8"/>
  <c r="H27" i="8"/>
  <c r="H29" i="8"/>
  <c r="H37" i="8"/>
  <c r="H26" i="8"/>
  <c r="H36" i="8"/>
  <c r="H21" i="8"/>
  <c r="H22" i="8"/>
  <c r="C16" i="9"/>
  <c r="G52" i="8"/>
  <c r="H20" i="8"/>
  <c r="H44" i="8"/>
  <c r="H13" i="8"/>
  <c r="H30" i="8"/>
  <c r="H38" i="8"/>
  <c r="H46" i="8"/>
  <c r="C19" i="9"/>
  <c r="G55" i="8"/>
  <c r="H15" i="8"/>
  <c r="H23" i="8"/>
  <c r="H31" i="8"/>
  <c r="H39" i="8"/>
  <c r="H47" i="8"/>
  <c r="C21" i="9"/>
  <c r="G57" i="8"/>
  <c r="C20" i="9"/>
  <c r="G56" i="8"/>
  <c r="H16" i="8"/>
  <c r="H32" i="8"/>
  <c r="C17" i="9"/>
  <c r="G53" i="8"/>
  <c r="H17" i="8"/>
  <c r="H25" i="8"/>
  <c r="H33" i="8"/>
  <c r="H41" i="8"/>
  <c r="H49" i="8"/>
  <c r="C18" i="9"/>
  <c r="G54" i="8"/>
  <c r="H48" i="8"/>
  <c r="H52" i="8"/>
  <c r="H18" i="8"/>
  <c r="H34" i="8"/>
  <c r="H42" i="8"/>
  <c r="H50" i="8"/>
  <c r="H45" i="8"/>
  <c r="H14" i="8"/>
  <c r="H19" i="8"/>
  <c r="H35" i="8"/>
  <c r="H43" i="8"/>
  <c r="H51" i="8"/>
  <c r="D4" i="9"/>
  <c r="D9" i="9"/>
  <c r="D3" i="9"/>
  <c r="D6" i="9"/>
  <c r="D10" i="9"/>
  <c r="D7" i="9"/>
  <c r="D11" i="9"/>
  <c r="D5" i="9"/>
  <c r="D12" i="9"/>
  <c r="D13" i="9"/>
  <c r="D2" i="9"/>
  <c r="D14" i="9"/>
  <c r="H10" i="9"/>
  <c r="H14" i="9"/>
  <c r="H13" i="9"/>
  <c r="H12" i="9"/>
  <c r="H11" i="9"/>
  <c r="H6" i="9"/>
  <c r="H7" i="9"/>
  <c r="H5" i="9"/>
  <c r="E14" i="9"/>
  <c r="F14" i="9"/>
  <c r="E13" i="9"/>
  <c r="F13" i="9"/>
  <c r="E12" i="9"/>
  <c r="F12" i="9"/>
  <c r="E11" i="9"/>
  <c r="F11" i="9"/>
  <c r="E10" i="9"/>
  <c r="E4" i="9"/>
  <c r="F4" i="9"/>
  <c r="E5" i="9"/>
  <c r="F5" i="9"/>
  <c r="E6" i="9"/>
  <c r="F6" i="9"/>
  <c r="E7" i="9"/>
  <c r="F7" i="9"/>
  <c r="E3" i="9"/>
  <c r="G17" i="9"/>
  <c r="H17" i="9"/>
  <c r="B26" i="9"/>
  <c r="C26" i="9"/>
  <c r="F10" i="9"/>
  <c r="G18" i="9"/>
  <c r="D18" i="9"/>
  <c r="B25" i="9"/>
  <c r="C25" i="9"/>
  <c r="F3" i="9"/>
  <c r="D17" i="9"/>
  <c r="E17" i="9"/>
  <c r="H18" i="9"/>
  <c r="H53" i="8"/>
  <c r="H54" i="8"/>
  <c r="F17" i="9"/>
  <c r="E18" i="9"/>
  <c r="F18" i="9"/>
  <c r="G21" i="9"/>
  <c r="D19" i="9"/>
  <c r="E19" i="9"/>
  <c r="G20" i="9"/>
  <c r="H55" i="8"/>
  <c r="F19" i="9"/>
  <c r="D20" i="9"/>
  <c r="E20" i="9"/>
  <c r="F20" i="9"/>
  <c r="H21" i="9"/>
  <c r="H56" i="8"/>
  <c r="B27" i="9"/>
  <c r="C27" i="9"/>
  <c r="D21" i="9"/>
  <c r="E21" i="9"/>
  <c r="F21" i="9"/>
  <c r="H57" i="8"/>
  <c r="G19" i="9"/>
  <c r="H20" i="9"/>
  <c r="H19" i="9"/>
</calcChain>
</file>

<file path=xl/sharedStrings.xml><?xml version="1.0" encoding="utf-8"?>
<sst xmlns="http://schemas.openxmlformats.org/spreadsheetml/2006/main" count="202" uniqueCount="164">
  <si>
    <t>Year</t>
  </si>
  <si>
    <t>2009-10</t>
  </si>
  <si>
    <t>2010-11</t>
  </si>
  <si>
    <t>2011-12</t>
  </si>
  <si>
    <t>2013-14</t>
  </si>
  <si>
    <t>2012-13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</si>
  <si>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</si>
  <si>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</si>
  <si>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</si>
  <si>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</si>
  <si>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</si>
  <si>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</si>
  <si>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</si>
  <si>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</si>
  <si>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</si>
  <si>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</si>
  <si>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</si>
  <si>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</si>
  <si>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</si>
  <si>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</si>
  <si>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</si>
  <si>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</si>
  <si>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</si>
  <si>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</si>
  <si>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</si>
  <si>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</si>
  <si>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</si>
  <si>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</si>
  <si>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</si>
  <si>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</si>
  <si>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</si>
  <si>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</si>
  <si>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</si>
  <si>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</si>
  <si>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</si>
  <si>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</si>
  <si>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</si>
  <si>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2006-07</t>
  </si>
  <si>
    <t>2007-08</t>
  </si>
  <si>
    <t>2008-09</t>
  </si>
  <si>
    <t>Unit</t>
  </si>
  <si>
    <t>2005-06</t>
  </si>
  <si>
    <t>2017-18</t>
  </si>
  <si>
    <t>2016-17</t>
  </si>
  <si>
    <t>2015-16</t>
  </si>
  <si>
    <t>2014-15</t>
  </si>
  <si>
    <t>ODA</t>
  </si>
  <si>
    <t>% real cuts cumulative</t>
  </si>
  <si>
    <t>% real cuts annual</t>
  </si>
  <si>
    <t>Total exp ($b)</t>
  </si>
  <si>
    <t>Real exp ($b)</t>
  </si>
  <si>
    <t>% nominal exp growth</t>
  </si>
  <si>
    <t>% real non-aid growth</t>
  </si>
  <si>
    <t>CPI (%)</t>
  </si>
  <si>
    <t>Sources</t>
  </si>
  <si>
    <t>% real exp growth</t>
  </si>
  <si>
    <t>Total Australian ODA</t>
  </si>
  <si>
    <t>Real Change Over Previous Year</t>
  </si>
  <si>
    <t>ODA/GNI Ratio</t>
  </si>
  <si>
    <t>$ million</t>
  </si>
  <si>
    <t>%</t>
  </si>
  <si>
    <t>Series Type</t>
  </si>
  <si>
    <t>Data Type</t>
  </si>
  <si>
    <t>Current Prices</t>
  </si>
  <si>
    <t>Percentage change</t>
  </si>
  <si>
    <t>Ratio</t>
  </si>
  <si>
    <t>1971-72</t>
  </si>
  <si>
    <t>n.a.</t>
  </si>
  <si>
    <t>1972-73</t>
  </si>
  <si>
    <t>1973-74</t>
  </si>
  <si>
    <t>Hawke-Keating</t>
  </si>
  <si>
    <t>Howard-Costello</t>
  </si>
  <si>
    <t>Abbott-Hockey</t>
  </si>
  <si>
    <t>ODA/GNI ratio change</t>
  </si>
  <si>
    <t>GNI ($b)</t>
  </si>
  <si>
    <t>Cumulative cuts</t>
  </si>
  <si>
    <t>1999-00</t>
  </si>
  <si>
    <t>Constant Prices 2011-12</t>
  </si>
  <si>
    <t>Total Australian ODA Constant Prices</t>
  </si>
  <si>
    <t>Aid/GNI (RHS)</t>
  </si>
  <si>
    <t>% cuts (RHS)</t>
  </si>
  <si>
    <t>Hawke-Keating (84/5-87/8)</t>
  </si>
  <si>
    <t>Howard-Costello (95/6-97/8)</t>
  </si>
  <si>
    <t>Year-to-year change</t>
  </si>
  <si>
    <t>Abbott-Hockey (12/3-16/17)</t>
  </si>
  <si>
    <t>Constant (2015-16) Prices</t>
  </si>
  <si>
    <t>2018-19</t>
  </si>
  <si>
    <t>2015-16 $A m (LHS)</t>
  </si>
  <si>
    <t>http://www.finance.gov.au/sites/default/files/FOI15-49_Document.pdf</t>
  </si>
  <si>
    <t>cumulative real cuts</t>
  </si>
  <si>
    <t>Real year on year change</t>
  </si>
  <si>
    <t>http://dfat.gov.au/aid/aid-budgets-statistics/Pages/default.aspx</t>
  </si>
  <si>
    <t>Nominal change (%)</t>
  </si>
  <si>
    <t>Cumulative nominal change (%)</t>
  </si>
  <si>
    <t>Real non-aid ($M)</t>
  </si>
  <si>
    <t>Real non-aid increases ($M)</t>
  </si>
  <si>
    <t>Real GDP growth forecast (%)</t>
  </si>
  <si>
    <t>Nominal GDP growth forecast (%)</t>
  </si>
  <si>
    <t>Nominal year on year change ($M)</t>
  </si>
  <si>
    <t>Cumulative nominal cuts ($M)</t>
  </si>
  <si>
    <t>ODA ($M)</t>
  </si>
  <si>
    <t>ODA/GNI</t>
  </si>
  <si>
    <t>ODA/govt. exp.</t>
  </si>
  <si>
    <t>Total Australian ODA ($ M)</t>
  </si>
  <si>
    <t>Total Australian ODA Constant Prices (2015-16 $M)</t>
  </si>
  <si>
    <t>Year-on-year cut ($ M)</t>
  </si>
  <si>
    <t>$M cuts (LHS)</t>
  </si>
  <si>
    <t>Series Titles for chart 2</t>
  </si>
  <si>
    <t>http://dfat.gov.au/about-us/publications/aid/statistical-summary-time-series-data/Pages/australian-aid-data.aspx</t>
  </si>
  <si>
    <t>http://dfat.gov.au/about-us/publications/Documents/2013-14-std-time-series-table-5.xlsx</t>
  </si>
  <si>
    <t>Data sources (appear to be)</t>
  </si>
  <si>
    <t>Aid data</t>
  </si>
  <si>
    <t>Total Federal Expenditure</t>
  </si>
  <si>
    <t>as per 2016-17 budget and budget night</t>
  </si>
  <si>
    <t>all figures are in nominal (i.e. non-inflation adjusted) dollars</t>
  </si>
  <si>
    <t>ODA (AU M)</t>
  </si>
  <si>
    <t>Total Federal Expenditure (AU M)</t>
  </si>
  <si>
    <t>ODA/Total Expenditure</t>
  </si>
  <si>
    <t>1995-1996</t>
  </si>
  <si>
    <t>1996-1997</t>
  </si>
  <si>
    <t>1997-1998</t>
  </si>
  <si>
    <t>1998-1999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</si>
  <si>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</si>
  <si>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</si>
  <si>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</si>
  <si>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</si>
  <si>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</si>
  <si>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</si>
  <si>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</si>
  <si>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</si>
  <si>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</si>
  <si>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</si>
  <si>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</si>
  <si>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</si>
  <si>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</si>
  <si>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</si>
  <si>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</si>
  <si>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</si>
  <si>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</si>
  <si>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</si>
  <si>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</si>
  <si>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</t>
  </si>
  <si>
    <t>Note: yellow means updated from another sheet</t>
  </si>
  <si>
    <t>ODA from ODA-GNI time series</t>
  </si>
  <si>
    <t>Defence ($b)</t>
  </si>
  <si>
    <t>defence/govt exp</t>
  </si>
  <si>
    <t>(non-ODA non-defence)/govt exp</t>
  </si>
  <si>
    <t>Index</t>
  </si>
  <si>
    <t>Deflator</t>
  </si>
  <si>
    <t>ODA current/ODA constant</t>
  </si>
  <si>
    <t>CPI Index 2016-17 base</t>
  </si>
  <si>
    <t>Real aid (2016-17) ($M)</t>
  </si>
  <si>
    <t>CPI Index 2011-12 base</t>
  </si>
  <si>
    <t>Total federal expenditure prior to 2012-13 from various budget documents</t>
  </si>
  <si>
    <t>Constant Prices 2016-17</t>
  </si>
  <si>
    <t>2019-2020</t>
  </si>
  <si>
    <t>Aid projections from lock up</t>
  </si>
  <si>
    <t>2015-16 and 16-17 from 2016-17 budget</t>
  </si>
  <si>
    <t>Earlier years from statistical summaries</t>
  </si>
  <si>
    <t>CPI and GNI</t>
  </si>
  <si>
    <t xml:space="preserve">Historical CPI and GNI from ABS </t>
  </si>
  <si>
    <t>Revised CPI and growth projections as per budget</t>
  </si>
  <si>
    <t>Total expenditure and defence from budget documents</t>
  </si>
  <si>
    <t>Inflation factor to convert from 2011-12 prices to 2016-17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</si>
</sst>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%"/>
    <numFmt numFmtId="166" formatCode="0.0"/>
    <numFmt numFmtId="167" formatCode="0.000"/>
    <numFmt numFmtId="169" formatCode="#,##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10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0" fontId="3" fillId="0" borderId="0" xfId="2"/>
    <xf numFmtId="165" fontId="0" fillId="0" borderId="0" xfId="1" applyNumberFormat="1" applyFont="1"/>
    <xf numFmtId="166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" fillId="0" borderId="0" xfId="0" applyFont="1"/>
    <xf numFmtId="167" fontId="0" fillId="0" borderId="0" xfId="0" applyNumberFormat="1"/>
    <xf numFmtId="2" fontId="0" fillId="0" borderId="0" xfId="1" applyNumberFormat="1" applyFont="1"/>
    <xf numFmtId="9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4" applyFont="1"/>
    <xf numFmtId="4" fontId="0" fillId="0" borderId="0" xfId="0" applyNumberFormat="1"/>
    <xf numFmtId="167" fontId="0" fillId="3" borderId="1" xfId="0" applyNumberFormat="1" applyFill="1" applyBorder="1"/>
    <xf numFmtId="169" fontId="0" fillId="0" borderId="0" xfId="0" applyNumberFormat="1"/>
    <xf numFmtId="4" fontId="0" fillId="0" borderId="0" xfId="0" applyNumberFormat="1" applyFill="1"/>
    <xf numFmtId="4" fontId="0" fillId="2" borderId="0" xfId="0" applyNumberFormat="1" applyFill="1"/>
    <xf numFmtId="0" fontId="5" fillId="0" borderId="0" xfId="0" applyFont="1"/>
    <xf numFmtId="0" fontId="0" fillId="2" borderId="0" xfId="0" applyFill="1"/>
    <xf numFmtId="164" fontId="0" fillId="2" borderId="0" xfId="4" applyFont="1" applyFill="1"/>
    <xf numFmtId="167" fontId="0" fillId="2" borderId="0" xfId="0" applyNumberFormat="1" applyFill="1"/>
    <xf numFmtId="0" fontId="0" fillId="4" borderId="0" xfId="0" applyFill="1"/>
    <xf numFmtId="0" fontId="1" fillId="0" borderId="0" xfId="0" applyFont="1" applyAlignment="1">
      <alignment wrapText="1"/>
    </xf>
    <xf numFmtId="3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/>
  </cellXfs>
  <cellStyles count="5">
    <cellStyle name="Comma" xfId="4" builtinId="3"/>
    <cellStyle name="Hyperlink" xfId="2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colors>
    <mruColors>
      <color rgb="FFCCECFF"/>
      <color rgb="FFFFCC99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58965642024003E-2"/>
          <c:y val="7.8779217604695417E-2"/>
          <c:w val="0.91631761352349428"/>
          <c:h val="0.7899804495012584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'ODA-GNI time series'!$A$11:$A$57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series'!$F$11:$F$57</c:f>
              <c:numCache>
                <c:formatCode>0.000</c:formatCode>
                <c:ptCount val="47"/>
                <c:pt idx="0">
                  <c:v>0.45</c:v>
                </c:pt>
                <c:pt idx="1">
                  <c:v>0.44</c:v>
                </c:pt>
                <c:pt idx="2">
                  <c:v>0.44</c:v>
                </c:pt>
                <c:pt idx="3">
                  <c:v>0.47</c:v>
                </c:pt>
                <c:pt idx="4">
                  <c:v>0.43</c:v>
                </c:pt>
                <c:pt idx="5">
                  <c:v>0.4</c:v>
                </c:pt>
                <c:pt idx="6">
                  <c:v>0.41</c:v>
                </c:pt>
                <c:pt idx="7">
                  <c:v>0.4</c:v>
                </c:pt>
                <c:pt idx="8">
                  <c:v>0.38</c:v>
                </c:pt>
                <c:pt idx="9">
                  <c:v>0.37</c:v>
                </c:pt>
                <c:pt idx="10">
                  <c:v>0.38</c:v>
                </c:pt>
                <c:pt idx="11">
                  <c:v>0.4</c:v>
                </c:pt>
                <c:pt idx="12">
                  <c:v>0.44093847304114103</c:v>
                </c:pt>
                <c:pt idx="13">
                  <c:v>0.43546400985111383</c:v>
                </c:pt>
                <c:pt idx="14">
                  <c:v>0.40233047292366647</c:v>
                </c:pt>
                <c:pt idx="15">
                  <c:v>0.34691700448047791</c:v>
                </c:pt>
                <c:pt idx="16">
                  <c:v>0.31995882836574974</c:v>
                </c:pt>
                <c:pt idx="17">
                  <c:v>0.33333054302240894</c:v>
                </c:pt>
                <c:pt idx="18">
                  <c:v>0.30043434749335168</c:v>
                </c:pt>
                <c:pt idx="19">
                  <c:v>0.31625014107113747</c:v>
                </c:pt>
                <c:pt idx="20">
                  <c:v>0.32682291666666669</c:v>
                </c:pt>
                <c:pt idx="21">
                  <c:v>0.32046406136929545</c:v>
                </c:pt>
                <c:pt idx="22">
                  <c:v>0.30903355822307893</c:v>
                </c:pt>
                <c:pt idx="23">
                  <c:v>0.30984909553384593</c:v>
                </c:pt>
                <c:pt idx="24">
                  <c:v>0.30484461052747031</c:v>
                </c:pt>
                <c:pt idx="25">
                  <c:v>0.2660641824100361</c:v>
                </c:pt>
                <c:pt idx="26">
                  <c:v>0.25295686060025979</c:v>
                </c:pt>
                <c:pt idx="27">
                  <c:v>0.25427337631661245</c:v>
                </c:pt>
                <c:pt idx="28">
                  <c:v>0.27236451084349361</c:v>
                </c:pt>
                <c:pt idx="29">
                  <c:v>0.23668250771759086</c:v>
                </c:pt>
                <c:pt idx="30">
                  <c:v>0.23932474722337749</c:v>
                </c:pt>
                <c:pt idx="31" formatCode="0.00">
                  <c:v>0.23511523317605904</c:v>
                </c:pt>
                <c:pt idx="32">
                  <c:v>0.23562300796396451</c:v>
                </c:pt>
                <c:pt idx="33">
                  <c:v>0.24741620536186631</c:v>
                </c:pt>
                <c:pt idx="34">
                  <c:v>0.27967758729690945</c:v>
                </c:pt>
                <c:pt idx="35">
                  <c:v>0.28659473509072553</c:v>
                </c:pt>
                <c:pt idx="36">
                  <c:v>0.27546383687651327</c:v>
                </c:pt>
                <c:pt idx="37">
                  <c:v>0.30767596755237459</c:v>
                </c:pt>
                <c:pt idx="38">
                  <c:v>0.31122385603469793</c:v>
                </c:pt>
                <c:pt idx="39">
                  <c:v>0.31809802838844864</c:v>
                </c:pt>
                <c:pt idx="40">
                  <c:v>0.33423789505620555</c:v>
                </c:pt>
                <c:pt idx="41">
                  <c:v>0.3401260839181835</c:v>
                </c:pt>
                <c:pt idx="42">
                  <c:v>0.32631716835553526</c:v>
                </c:pt>
                <c:pt idx="43">
                  <c:v>0.31893094752026752</c:v>
                </c:pt>
                <c:pt idx="44">
                  <c:v>0.25055415086899918</c:v>
                </c:pt>
                <c:pt idx="45">
                  <c:v>0.22705341105828761</c:v>
                </c:pt>
                <c:pt idx="46">
                  <c:v>0.22098645172414316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358416"/>
        <c:axId val="596350968"/>
      </c:lineChart>
      <c:catAx>
        <c:axId val="59635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6350968"/>
        <c:crosses val="autoZero"/>
        <c:auto val="1"/>
        <c:lblAlgn val="ctr"/>
        <c:lblOffset val="100"/>
        <c:noMultiLvlLbl val="0"/>
      </c:catAx>
      <c:valAx>
        <c:axId val="596350968"/>
        <c:scaling>
          <c:orientation val="minMax"/>
          <c:min val="0.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ODA/GNI ratio</a:t>
                </a:r>
              </a:p>
            </c:rich>
          </c:tx>
          <c:layout>
            <c:manualLayout>
              <c:xMode val="edge"/>
              <c:yMode val="edge"/>
              <c:x val="8.4263739932639442E-3"/>
              <c:y val="9.8507781061879084E-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5963584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'ODA-GNI time series'!$O$4</c:f>
              <c:strCache>
                <c:ptCount val="1"/>
                <c:pt idx="0">
                  <c:v>2015-16 $A m (LHS)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'ODA-GNI time series'!$A$11:$A$57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series'!$D$11:$D$57</c:f>
              <c:numCache>
                <c:formatCode>#,##0.00</c:formatCode>
                <c:ptCount val="47"/>
                <c:pt idx="0">
                  <c:v>2178.1208302559839</c:v>
                </c:pt>
                <c:pt idx="1">
                  <c:v>2270.9800503770148</c:v>
                </c:pt>
                <c:pt idx="2">
                  <c:v>2409.8287894679406</c:v>
                </c:pt>
                <c:pt idx="3">
                  <c:v>2495.976620457001</c:v>
                </c:pt>
                <c:pt idx="4">
                  <c:v>2302.5565861290715</c:v>
                </c:pt>
                <c:pt idx="5">
                  <c:v>2216.0786868220453</c:v>
                </c:pt>
                <c:pt idx="6">
                  <c:v>2248.9754958459648</c:v>
                </c:pt>
                <c:pt idx="7">
                  <c:v>2339.7442832865459</c:v>
                </c:pt>
                <c:pt idx="8">
                  <c:v>2323.2408673882583</c:v>
                </c:pt>
                <c:pt idx="9">
                  <c:v>2345.2454219193082</c:v>
                </c:pt>
                <c:pt idx="10">
                  <c:v>2405.3178557890747</c:v>
                </c:pt>
                <c:pt idx="11">
                  <c:v>2436.1242321325449</c:v>
                </c:pt>
                <c:pt idx="12">
                  <c:v>2855.6885671354298</c:v>
                </c:pt>
                <c:pt idx="13">
                  <c:v>2967.3875270271956</c:v>
                </c:pt>
                <c:pt idx="14">
                  <c:v>2842.9443260040784</c:v>
                </c:pt>
                <c:pt idx="15">
                  <c:v>2496.2376047084163</c:v>
                </c:pt>
                <c:pt idx="16">
                  <c:v>2449.3279257487529</c:v>
                </c:pt>
                <c:pt idx="17">
                  <c:v>2639.2209681518398</c:v>
                </c:pt>
                <c:pt idx="18">
                  <c:v>2450.5641469209186</c:v>
                </c:pt>
                <c:pt idx="19">
                  <c:v>2527.1168728282373</c:v>
                </c:pt>
                <c:pt idx="20">
                  <c:v>2613.6302582728399</c:v>
                </c:pt>
                <c:pt idx="21">
                  <c:v>2708.7489374323623</c:v>
                </c:pt>
                <c:pt idx="22">
                  <c:v>2727.9460046050376</c:v>
                </c:pt>
                <c:pt idx="23">
                  <c:v>2804.8245324500754</c:v>
                </c:pt>
                <c:pt idx="24">
                  <c:v>2858.9389922854189</c:v>
                </c:pt>
                <c:pt idx="25">
                  <c:v>2591.3258296433878</c:v>
                </c:pt>
                <c:pt idx="26">
                  <c:v>2577.319171128664</c:v>
                </c:pt>
                <c:pt idx="27">
                  <c:v>2716.9759334542018</c:v>
                </c:pt>
                <c:pt idx="28">
                  <c:v>3029.8712211375691</c:v>
                </c:pt>
                <c:pt idx="29">
                  <c:v>2693.483594219249</c:v>
                </c:pt>
                <c:pt idx="30">
                  <c:v>2843.902331181579</c:v>
                </c:pt>
                <c:pt idx="31">
                  <c:v>2877.5670311033095</c:v>
                </c:pt>
                <c:pt idx="32">
                  <c:v>2994.2887272561893</c:v>
                </c:pt>
                <c:pt idx="33">
                  <c:v>3207.4410686141237</c:v>
                </c:pt>
                <c:pt idx="34">
                  <c:v>3723.1551659735251</c:v>
                </c:pt>
                <c:pt idx="35">
                  <c:v>3937.9612383943022</c:v>
                </c:pt>
                <c:pt idx="36">
                  <c:v>3939.3422170209847</c:v>
                </c:pt>
                <c:pt idx="37">
                  <c:v>4489.0455118219179</c:v>
                </c:pt>
                <c:pt idx="38">
                  <c:v>4612.2771070348108</c:v>
                </c:pt>
                <c:pt idx="39">
                  <c:v>4826.1280390683241</c:v>
                </c:pt>
                <c:pt idx="40">
                  <c:v>5308.7731935559159</c:v>
                </c:pt>
                <c:pt idx="41">
                  <c:v>5440.28625448398</c:v>
                </c:pt>
                <c:pt idx="42">
                  <c:v>5274.7499699999998</c:v>
                </c:pt>
                <c:pt idx="43">
                  <c:v>5196.7979999999998</c:v>
                </c:pt>
                <c:pt idx="44">
                  <c:v>4133.04</c:v>
                </c:pt>
                <c:pt idx="45">
                  <c:v>3828</c:v>
                </c:pt>
                <c:pt idx="46">
                  <c:v>3825.9168704156482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353712"/>
        <c:axId val="596354104"/>
      </c:lineChart>
      <c:lineChart>
        <c:grouping val="standard"/>
        <c:varyColors val="0"/>
        <c:ser>
          <c:idx val="1"/>
          <c:order val="1"/>
          <c:tx>
            <c:strRef>
              <c:f>'ODA-GNI time series'!$O$3</c:f>
              <c:strCache>
                <c:ptCount val="1"/>
                <c:pt idx="0">
                  <c:v>Aid/GNI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'ODA-GNI time series'!$A$11:$A$57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series'!$F$11:$F$57</c:f>
              <c:numCache>
                <c:formatCode>0.000</c:formatCode>
                <c:ptCount val="47"/>
                <c:pt idx="0">
                  <c:v>0.45</c:v>
                </c:pt>
                <c:pt idx="1">
                  <c:v>0.44</c:v>
                </c:pt>
                <c:pt idx="2">
                  <c:v>0.44</c:v>
                </c:pt>
                <c:pt idx="3">
                  <c:v>0.47</c:v>
                </c:pt>
                <c:pt idx="4">
                  <c:v>0.43</c:v>
                </c:pt>
                <c:pt idx="5">
                  <c:v>0.4</c:v>
                </c:pt>
                <c:pt idx="6">
                  <c:v>0.41</c:v>
                </c:pt>
                <c:pt idx="7">
                  <c:v>0.4</c:v>
                </c:pt>
                <c:pt idx="8">
                  <c:v>0.38</c:v>
                </c:pt>
                <c:pt idx="9">
                  <c:v>0.37</c:v>
                </c:pt>
                <c:pt idx="10">
                  <c:v>0.38</c:v>
                </c:pt>
                <c:pt idx="11">
                  <c:v>0.4</c:v>
                </c:pt>
                <c:pt idx="12">
                  <c:v>0.44093847304114103</c:v>
                </c:pt>
                <c:pt idx="13">
                  <c:v>0.43546400985111383</c:v>
                </c:pt>
                <c:pt idx="14">
                  <c:v>0.40233047292366647</c:v>
                </c:pt>
                <c:pt idx="15">
                  <c:v>0.34691700448047791</c:v>
                </c:pt>
                <c:pt idx="16">
                  <c:v>0.31995882836574974</c:v>
                </c:pt>
                <c:pt idx="17">
                  <c:v>0.33333054302240894</c:v>
                </c:pt>
                <c:pt idx="18">
                  <c:v>0.30043434749335168</c:v>
                </c:pt>
                <c:pt idx="19">
                  <c:v>0.31625014107113747</c:v>
                </c:pt>
                <c:pt idx="20">
                  <c:v>0.32682291666666669</c:v>
                </c:pt>
                <c:pt idx="21">
                  <c:v>0.32046406136929545</c:v>
                </c:pt>
                <c:pt idx="22">
                  <c:v>0.30903355822307893</c:v>
                </c:pt>
                <c:pt idx="23">
                  <c:v>0.30984909553384593</c:v>
                </c:pt>
                <c:pt idx="24">
                  <c:v>0.30484461052747031</c:v>
                </c:pt>
                <c:pt idx="25">
                  <c:v>0.2660641824100361</c:v>
                </c:pt>
                <c:pt idx="26">
                  <c:v>0.25295686060025979</c:v>
                </c:pt>
                <c:pt idx="27">
                  <c:v>0.25427337631661245</c:v>
                </c:pt>
                <c:pt idx="28">
                  <c:v>0.27236451084349361</c:v>
                </c:pt>
                <c:pt idx="29">
                  <c:v>0.23668250771759086</c:v>
                </c:pt>
                <c:pt idx="30">
                  <c:v>0.23932474722337749</c:v>
                </c:pt>
                <c:pt idx="31" formatCode="0.00">
                  <c:v>0.23511523317605904</c:v>
                </c:pt>
                <c:pt idx="32">
                  <c:v>0.23562300796396451</c:v>
                </c:pt>
                <c:pt idx="33">
                  <c:v>0.24741620536186631</c:v>
                </c:pt>
                <c:pt idx="34">
                  <c:v>0.27967758729690945</c:v>
                </c:pt>
                <c:pt idx="35">
                  <c:v>0.28659473509072553</c:v>
                </c:pt>
                <c:pt idx="36">
                  <c:v>0.27546383687651327</c:v>
                </c:pt>
                <c:pt idx="37">
                  <c:v>0.30767596755237459</c:v>
                </c:pt>
                <c:pt idx="38">
                  <c:v>0.31122385603469793</c:v>
                </c:pt>
                <c:pt idx="39">
                  <c:v>0.31809802838844864</c:v>
                </c:pt>
                <c:pt idx="40">
                  <c:v>0.33423789505620555</c:v>
                </c:pt>
                <c:pt idx="41">
                  <c:v>0.3401260839181835</c:v>
                </c:pt>
                <c:pt idx="42">
                  <c:v>0.32631716835553526</c:v>
                </c:pt>
                <c:pt idx="43">
                  <c:v>0.31893094752026752</c:v>
                </c:pt>
                <c:pt idx="44">
                  <c:v>0.25055415086899918</c:v>
                </c:pt>
                <c:pt idx="45">
                  <c:v>0.22705341105828761</c:v>
                </c:pt>
                <c:pt idx="46">
                  <c:v>0.22098645172414316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357632"/>
        <c:axId val="596354888"/>
      </c:lineChart>
      <c:catAx>
        <c:axId val="59635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54104"/>
        <c:crosses val="autoZero"/>
        <c:auto val="1"/>
        <c:lblAlgn val="ctr"/>
        <c:lblOffset val="100"/>
        <c:noMultiLvlLbl val="0"/>
      </c:catAx>
      <c:valAx>
        <c:axId val="59635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AUD -</a:t>
                </a:r>
                <a:r>
                  <a:rPr lang="en-US" baseline="0"/>
                  <a:t> Million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53712"/>
        <c:crosses val="autoZero"/>
        <c:crossBetween val="midCat"/>
      </c:valAx>
      <c:valAx>
        <c:axId val="596354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57632"/>
        <c:crosses val="max"/>
        <c:crossBetween val="between"/>
      </c:valAx>
      <c:catAx>
        <c:axId val="59635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354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71095103284999E-2"/>
          <c:y val="9.8956570723578524E-2"/>
          <c:w val="0.84593149739411477"/>
          <c:h val="0.73397238869587944"/>
        </c:manualLayout>
      </c:layout>
      <c:lineChart>
        <c:grouping val="standard"/>
        <c:varyColors val="0"/>
        <c:ser>
          <c:idx val="0"/>
          <c:order val="0"/>
          <c:tx>
            <c:strRef>
              <c:f>'Historic cuts comparison'!$B$24</c:f>
              <c:strCache>
                <c:ptCount val="1"/>
                <c:pt idx="0">
                  <c:v>$M cuts (LHS)</c:v>
                </c:pt>
              </c:strCache>
            </c:strRef>
          </c:tx>
          <c:marker>
            <c:symbol val="none"/>
          </c:marker>
          <c:cat>
            <c:strRef>
              <c:f>'Historic cuts comparison'!$A$25:$A$27</c:f>
              <c:strCache>
                <c:ptCount val="3"/>
                <c:pt idx="0">
                  <c:v>Hawke-Keating (84/5-87/8)</c:v>
                </c:pt>
                <c:pt idx="1">
                  <c:v>Howard-Costello (95/6-97/8)</c:v>
                </c:pt>
                <c:pt idx="2">
                  <c:v>Abbott-Hockey (12/3-16/17)</c:v>
                </c:pt>
              </c:strCache>
            </c:strRef>
          </c:cat>
          <c:val>
            <c:numRef>
              <c:f>'Historic cuts comparison'!$B$25:$B$27</c:f>
              <c:numCache>
                <c:formatCode>0.0</c:formatCode>
                <c:ptCount val="3"/>
                <c:pt idx="0">
                  <c:v>518.05960127844264</c:v>
                </c:pt>
                <c:pt idx="1">
                  <c:v>281.61982115675482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352144"/>
        <c:axId val="596358024"/>
      </c:lineChart>
      <c:lineChart>
        <c:grouping val="standard"/>
        <c:varyColors val="0"/>
        <c:ser>
          <c:idx val="1"/>
          <c:order val="1"/>
          <c:tx>
            <c:strRef>
              <c:f>'Historic cuts comparison'!$C$24</c:f>
              <c:strCache>
                <c:ptCount val="1"/>
                <c:pt idx="0">
                  <c:v>% cuts (RHS)</c:v>
                </c:pt>
              </c:strCache>
            </c:strRef>
          </c:tx>
          <c:marker>
            <c:symbol val="none"/>
          </c:marker>
          <c:cat>
            <c:strRef>
              <c:f>'Historic cuts comparison'!$A$25:$A$27</c:f>
              <c:strCache>
                <c:ptCount val="3"/>
                <c:pt idx="0">
                  <c:v>Hawke-Keating (84/5-87/8)</c:v>
                </c:pt>
                <c:pt idx="1">
                  <c:v>Howard-Costello (95/6-97/8)</c:v>
                </c:pt>
                <c:pt idx="2">
                  <c:v>Abbott-Hockey (12/3-16/17)</c:v>
                </c:pt>
              </c:strCache>
            </c:strRef>
          </c:cat>
          <c:val>
            <c:numRef>
              <c:f>'Historic cuts comparison'!$C$25:$C$27</c:f>
              <c:numCache>
                <c:formatCode>0%</c:formatCode>
                <c:ptCount val="3"/>
                <c:pt idx="0">
                  <c:v>0.17458441021265866</c:v>
                </c:pt>
                <c:pt idx="1">
                  <c:v>9.8505012494733091E-2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187272"/>
        <c:axId val="883181392"/>
      </c:lineChart>
      <c:catAx>
        <c:axId val="59635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96358024"/>
        <c:crosses val="autoZero"/>
        <c:auto val="1"/>
        <c:lblAlgn val="ctr"/>
        <c:lblOffset val="100"/>
        <c:noMultiLvlLbl val="0"/>
      </c:catAx>
      <c:valAx>
        <c:axId val="596358024"/>
        <c:scaling>
          <c:orientation val="minMax"/>
          <c:max val="1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AU" b="1"/>
                  <a:t>2015-16 $A m</a:t>
                </a:r>
              </a:p>
            </c:rich>
          </c:tx>
          <c:layout>
            <c:manualLayout>
              <c:xMode val="edge"/>
              <c:yMode val="edge"/>
              <c:x val="2.807014320338428E-2"/>
              <c:y val="1.5057595839562709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596352144"/>
        <c:crosses val="autoZero"/>
        <c:crossBetween val="between"/>
      </c:valAx>
      <c:valAx>
        <c:axId val="8831813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883187272"/>
        <c:crosses val="max"/>
        <c:crossBetween val="between"/>
      </c:valAx>
      <c:catAx>
        <c:axId val="88318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318139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1491381</xdr:colOff>
      <xdr:row>36</xdr:row>
      <xdr:rowOff>108830</xdr:rowOff>
    </xdr:from>
    <xdr:to>
      <xdr:col>20</xdr:col>
      <xdr:colOff>179293</xdr:colOff>
      <xdr:row>61</xdr:row>
      <xdr:rowOff>44821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550688</xdr:colOff>
      <xdr:row>11</xdr:row>
      <xdr:rowOff>51195</xdr:rowOff>
    </xdr:from>
    <xdr:to>
      <xdr:col>17</xdr:col>
      <xdr:colOff>144876</xdr:colOff>
      <xdr:row>37</xdr:row>
      <xdr:rowOff>68836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131364</xdr:colOff>
      <xdr:row>0</xdr:row>
      <xdr:rowOff>111917</xdr:rowOff>
    </xdr:from>
    <xdr:to>
      <xdr:col>17</xdr:col>
      <xdr:colOff>607217</xdr:colOff>
      <xdr:row>18</xdr:row>
      <xdr:rowOff>36909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dfat.gov.au/aid/aid-budgets-statistics/Pages/default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1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5" x14ac:dyDescent="0.25"/>
  <cols>
    <col min="23" max="23" width="10" bestFit="1" customWidth="1"/>
  </cols>
  <sheetData>
    <row r="1" spans="1:29" ht="75" x14ac:dyDescent="0.25">
      <c r="A1" s="15" t="s">
        <v>0</v>
      </c>
      <c r="B1" s="15" t="s">
        <v>100</v>
      </c>
      <c r="C1" s="15" t="s">
        <v>98</v>
      </c>
      <c r="D1" s="15" t="s">
        <v>99</v>
      </c>
      <c r="E1" s="15" t="s">
        <v>92</v>
      </c>
      <c r="F1" s="15" t="s">
        <v>93</v>
      </c>
      <c r="G1" s="15" t="s">
        <v>53</v>
      </c>
      <c r="H1" s="15" t="s">
        <v>152</v>
      </c>
      <c r="I1" s="15" t="s">
        <v>150</v>
      </c>
      <c r="J1" s="15" t="s">
        <v>151</v>
      </c>
      <c r="K1" s="15" t="s">
        <v>90</v>
      </c>
      <c r="L1" s="15" t="s">
        <v>89</v>
      </c>
      <c r="M1" s="15" t="s">
        <v>47</v>
      </c>
      <c r="N1" s="15" t="s">
        <v>48</v>
      </c>
      <c r="O1" s="15" t="s">
        <v>49</v>
      </c>
      <c r="P1" s="15" t="s">
        <v>144</v>
      </c>
      <c r="Q1" s="15" t="s">
        <v>51</v>
      </c>
      <c r="R1" s="15" t="s">
        <v>50</v>
      </c>
      <c r="S1" s="15" t="s">
        <v>55</v>
      </c>
      <c r="T1" s="15" t="s">
        <v>94</v>
      </c>
      <c r="U1" s="15" t="s">
        <v>95</v>
      </c>
      <c r="V1" s="15" t="s">
        <v>52</v>
      </c>
      <c r="W1" s="15" t="s">
        <v>74</v>
      </c>
      <c r="X1" s="15" t="s">
        <v>96</v>
      </c>
      <c r="Y1" s="15" t="s">
        <v>97</v>
      </c>
      <c r="Z1" s="15" t="s">
        <v>101</v>
      </c>
      <c r="AA1" s="15" t="s">
        <v>102</v>
      </c>
      <c r="AB1" s="15" t="s">
        <v>145</v>
      </c>
      <c r="AC1" s="15" t="s">
        <v>146</v>
      </c>
    </row>
    <row r="2" spans="1:29" ht="90" x14ac:dyDescent="0.25">
      <c r="A2" s="15"/>
      <c r="B2" s="15" t="s">
        <v>113</v>
      </c>
      <c r="C2" s="15"/>
      <c r="D2" s="15"/>
      <c r="E2" s="15"/>
      <c r="F2" s="15"/>
      <c r="G2" s="15"/>
      <c r="H2" s="15">
        <v>1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9" x14ac:dyDescent="0.25">
      <c r="A3" t="s">
        <v>5</v>
      </c>
      <c r="B3" s="16">
        <v>5053.4743107269996</v>
      </c>
      <c r="G3" s="24">
        <v>2.2000000000000002</v>
      </c>
      <c r="H3" s="10">
        <f t="shared" ref="H3:H10" si="0">H2*(1+G3/100)</f>
        <v>1.022</v>
      </c>
      <c r="I3" s="10">
        <f>H3/H$7*I$7</f>
        <v>0.9288986046573996</v>
      </c>
      <c r="J3" s="16">
        <f t="shared" ref="J3:J9" si="1">B3/I3</f>
        <v>5440.28625448398</v>
      </c>
      <c r="K3" s="7"/>
      <c r="O3">
        <v>382.6</v>
      </c>
      <c r="R3" s="6">
        <f t="shared" ref="R3:R9" si="2">O3/I3</f>
        <v>411.8856440107499</v>
      </c>
      <c r="T3" s="16">
        <f t="shared" ref="T3:T9" si="3">R3*1000-J3</f>
        <v>406445.3577562659</v>
      </c>
      <c r="W3" s="25">
        <v>1485.7650000000001</v>
      </c>
      <c r="Z3" s="1">
        <f t="shared" ref="Z3:Z9" si="4">(B3/1000)/W3</f>
        <v>3.4012608391818348E-3</v>
      </c>
      <c r="AA3" s="3">
        <f t="shared" ref="AA3:AA10" si="5">B3/O3/1000</f>
        <v>1.3208244408591217E-2</v>
      </c>
    </row>
    <row r="4" spans="1:29" x14ac:dyDescent="0.25">
      <c r="A4" t="s">
        <v>4</v>
      </c>
      <c r="B4" s="16">
        <v>5032</v>
      </c>
      <c r="C4" s="7">
        <f t="shared" ref="C4:C10" si="6">B4-B3</f>
        <v>-21.474310726999647</v>
      </c>
      <c r="D4" s="7">
        <f>B4-B3</f>
        <v>-21.474310726999647</v>
      </c>
      <c r="E4" s="5">
        <f t="shared" ref="E4:E10" si="7">B4/B3-1</f>
        <v>-4.2494152352602343E-3</v>
      </c>
      <c r="F4" s="5">
        <f t="shared" ref="F4:F10" si="8">D4/B$3</f>
        <v>-4.2494152352602586E-3</v>
      </c>
      <c r="G4" s="24">
        <v>2.7</v>
      </c>
      <c r="H4" s="10">
        <f t="shared" si="0"/>
        <v>1.0495939999999999</v>
      </c>
      <c r="I4" s="10">
        <f t="shared" ref="I4:I9" si="9">H4/H$7*I$7</f>
        <v>0.95397886698314927</v>
      </c>
      <c r="J4" s="16">
        <f t="shared" si="1"/>
        <v>5274.7499699999998</v>
      </c>
      <c r="K4" s="7">
        <f t="shared" ref="K4:K9" si="10">J4-J3</f>
        <v>-165.53628448398013</v>
      </c>
      <c r="L4" s="7">
        <f>J4-J3</f>
        <v>-165.53628448398013</v>
      </c>
      <c r="M4" s="5">
        <f t="shared" ref="M4:M9" si="11">L4/J$3</f>
        <v>-3.0427862935988377E-2</v>
      </c>
      <c r="N4" s="5">
        <f t="shared" ref="N4:N9" si="12">J4/J3-1</f>
        <v>-3.0427862935988426E-2</v>
      </c>
      <c r="O4">
        <v>413.8</v>
      </c>
      <c r="Q4" s="5">
        <f>O4/O3-1</f>
        <v>8.1547307893361287E-2</v>
      </c>
      <c r="R4" s="6">
        <f t="shared" si="2"/>
        <v>433.76222924999996</v>
      </c>
      <c r="S4" s="5">
        <f>R4/R3-1</f>
        <v>5.3113250139592338E-2</v>
      </c>
      <c r="T4" s="16">
        <f t="shared" si="3"/>
        <v>428487.47927999997</v>
      </c>
      <c r="U4" s="16">
        <f t="shared" ref="U4:U9" si="13">T4-T3</f>
        <v>22042.121523734066</v>
      </c>
      <c r="V4" s="8">
        <f t="shared" ref="V4:V9" si="14">T4/T$3-1</f>
        <v>5.4231451050185564E-2</v>
      </c>
      <c r="W4" s="25">
        <v>1542.058</v>
      </c>
      <c r="Z4" s="1">
        <f t="shared" si="4"/>
        <v>3.2631716835553526E-3</v>
      </c>
      <c r="AA4" s="3">
        <f t="shared" si="5"/>
        <v>1.2160463992266795E-2</v>
      </c>
    </row>
    <row r="5" spans="1:29" x14ac:dyDescent="0.25">
      <c r="A5" t="s">
        <v>45</v>
      </c>
      <c r="B5" s="16">
        <v>5032</v>
      </c>
      <c r="C5">
        <f t="shared" si="6"/>
        <v>0</v>
      </c>
      <c r="D5" s="7">
        <f t="shared" ref="D5:D10" si="15">B5-B$3</f>
        <v>-21.474310726999647</v>
      </c>
      <c r="E5" s="5">
        <f t="shared" si="7"/>
        <v>0</v>
      </c>
      <c r="F5" s="5">
        <f t="shared" si="8"/>
        <v>-4.2494152352602586E-3</v>
      </c>
      <c r="G5" s="27">
        <v>1.5</v>
      </c>
      <c r="H5" s="10">
        <f t="shared" si="0"/>
        <v>1.0653379099999998</v>
      </c>
      <c r="I5" s="10">
        <f t="shared" si="9"/>
        <v>0.96828854998789637</v>
      </c>
      <c r="J5" s="16">
        <f t="shared" si="1"/>
        <v>5196.7979999999998</v>
      </c>
      <c r="K5" s="7">
        <f t="shared" si="10"/>
        <v>-77.951970000000074</v>
      </c>
      <c r="L5" s="7">
        <f t="shared" ref="L5:L10" si="16">J5-J$3</f>
        <v>-243.4882544839802</v>
      </c>
      <c r="M5" s="5">
        <f t="shared" si="11"/>
        <v>-4.4756515207870336E-2</v>
      </c>
      <c r="N5" s="3">
        <f t="shared" si="12"/>
        <v>-1.4778325123152691E-2</v>
      </c>
      <c r="O5">
        <v>420.3</v>
      </c>
      <c r="P5">
        <v>24.611999999999998</v>
      </c>
      <c r="Q5" s="5">
        <f>O5/O3-1</f>
        <v>9.8536330371144842E-2</v>
      </c>
      <c r="R5" s="6">
        <f t="shared" si="2"/>
        <v>434.06482500000004</v>
      </c>
      <c r="S5" s="5">
        <f>R5/R3-1</f>
        <v>5.3847909757863022E-2</v>
      </c>
      <c r="T5" s="16">
        <f t="shared" si="3"/>
        <v>428868.02700000006</v>
      </c>
      <c r="U5" s="16">
        <f t="shared" si="13"/>
        <v>380.54772000008961</v>
      </c>
      <c r="V5" s="8">
        <f t="shared" si="14"/>
        <v>5.5167733659244877E-2</v>
      </c>
      <c r="W5" s="25">
        <v>1577.771</v>
      </c>
      <c r="Z5" s="1">
        <f t="shared" si="4"/>
        <v>3.1893094752026754E-3</v>
      </c>
      <c r="AA5" s="3">
        <f t="shared" si="5"/>
        <v>1.1972400666190815E-2</v>
      </c>
      <c r="AB5" s="5">
        <f t="shared" ref="AB5:AB10" si="17">P5/O5</f>
        <v>5.8558172733761592E-2</v>
      </c>
      <c r="AC5" s="5">
        <f t="shared" ref="AC5:AC10" si="18">(O5-B5/1000-P5)/O5</f>
        <v>0.92946942660004761</v>
      </c>
    </row>
    <row r="6" spans="1:29" x14ac:dyDescent="0.25">
      <c r="A6" t="s">
        <v>44</v>
      </c>
      <c r="B6" s="16">
        <v>4052</v>
      </c>
      <c r="C6">
        <f t="shared" si="6"/>
        <v>-980</v>
      </c>
      <c r="D6" s="7">
        <f t="shared" si="15"/>
        <v>-1001.4743107269996</v>
      </c>
      <c r="E6" s="5">
        <f t="shared" si="7"/>
        <v>-0.19475357710651831</v>
      </c>
      <c r="F6" s="5">
        <f t="shared" si="8"/>
        <v>-0.19817540352410068</v>
      </c>
      <c r="G6" s="27">
        <v>1.25</v>
      </c>
      <c r="H6" s="10">
        <f t="shared" si="0"/>
        <v>1.0786546338749998</v>
      </c>
      <c r="I6" s="10">
        <f t="shared" si="9"/>
        <v>0.98039215686274517</v>
      </c>
      <c r="J6" s="16">
        <f t="shared" si="1"/>
        <v>4133.04</v>
      </c>
      <c r="K6" s="7">
        <f t="shared" si="10"/>
        <v>-1063.7579999999998</v>
      </c>
      <c r="L6" s="7">
        <f t="shared" si="16"/>
        <v>-1307.24625448398</v>
      </c>
      <c r="M6" s="14">
        <f t="shared" si="11"/>
        <v>-0.24028997617662573</v>
      </c>
      <c r="N6" s="3">
        <f t="shared" si="12"/>
        <v>-0.20469489096940074</v>
      </c>
      <c r="O6" s="27">
        <v>431.5</v>
      </c>
      <c r="P6" s="27">
        <v>25.986000000000001</v>
      </c>
      <c r="Q6" s="5">
        <f>O6/O3-1</f>
        <v>0.12780972294824866</v>
      </c>
      <c r="R6" s="6">
        <f t="shared" si="2"/>
        <v>440.13</v>
      </c>
      <c r="S6" s="5">
        <f>R6/R3-1</f>
        <v>6.8573295524990252E-2</v>
      </c>
      <c r="T6" s="16">
        <f t="shared" si="3"/>
        <v>435996.96</v>
      </c>
      <c r="U6" s="16">
        <f t="shared" si="13"/>
        <v>7128.9329999999609</v>
      </c>
      <c r="V6" s="8">
        <f t="shared" si="14"/>
        <v>7.2707441922501559E-2</v>
      </c>
      <c r="W6" s="17">
        <f>W5*(1+Y6/100)</f>
        <v>1617.2152749999998</v>
      </c>
      <c r="X6">
        <v>2.75</v>
      </c>
      <c r="Y6" s="27">
        <v>2.5</v>
      </c>
      <c r="Z6" s="1">
        <f t="shared" si="4"/>
        <v>2.5055415086899921E-3</v>
      </c>
      <c r="AA6" s="3">
        <f t="shared" si="5"/>
        <v>9.3904982618771733E-3</v>
      </c>
      <c r="AB6" s="5">
        <f t="shared" si="17"/>
        <v>6.0222479721900347E-2</v>
      </c>
      <c r="AC6" s="5">
        <f t="shared" si="18"/>
        <v>0.93038702201622248</v>
      </c>
    </row>
    <row r="7" spans="1:29" x14ac:dyDescent="0.25">
      <c r="A7" t="s">
        <v>43</v>
      </c>
      <c r="B7" s="16">
        <v>3828</v>
      </c>
      <c r="C7">
        <f t="shared" si="6"/>
        <v>-224</v>
      </c>
      <c r="D7" s="7">
        <f t="shared" si="15"/>
        <v>-1225.4743107269996</v>
      </c>
      <c r="E7" s="5">
        <f t="shared" si="7"/>
        <v>-5.5281342546890433E-2</v>
      </c>
      <c r="F7" s="5">
        <f t="shared" si="8"/>
        <v>-0.24250134370440704</v>
      </c>
      <c r="G7" s="27">
        <v>2</v>
      </c>
      <c r="H7" s="10">
        <f t="shared" si="0"/>
        <v>1.1002277265524998</v>
      </c>
      <c r="I7" s="10">
        <v>1</v>
      </c>
      <c r="J7" s="16">
        <f t="shared" si="1"/>
        <v>3828</v>
      </c>
      <c r="K7" s="7">
        <f t="shared" si="10"/>
        <v>-305.03999999999996</v>
      </c>
      <c r="L7" s="7">
        <f t="shared" si="16"/>
        <v>-1612.28625448398</v>
      </c>
      <c r="M7" s="5">
        <f t="shared" si="11"/>
        <v>-0.29636055513716858</v>
      </c>
      <c r="N7" s="5">
        <f t="shared" si="12"/>
        <v>-7.3805237791069067E-2</v>
      </c>
      <c r="O7" s="27">
        <v>450.6</v>
      </c>
      <c r="P7" s="27">
        <v>27.155000000000001</v>
      </c>
      <c r="Q7" s="5">
        <f>O7/O3-1</f>
        <v>0.17773131207527437</v>
      </c>
      <c r="R7" s="6">
        <f t="shared" si="2"/>
        <v>450.6</v>
      </c>
      <c r="S7" s="5">
        <f>R7/R3-1</f>
        <v>9.3992972448050827E-2</v>
      </c>
      <c r="T7" s="16">
        <f t="shared" si="3"/>
        <v>446772</v>
      </c>
      <c r="U7" s="16">
        <f t="shared" si="13"/>
        <v>10775.039999999979</v>
      </c>
      <c r="V7" s="8">
        <f t="shared" si="14"/>
        <v>9.9217868956241961E-2</v>
      </c>
      <c r="W7" s="17">
        <f>W6*(1+Y7/100)</f>
        <v>1685.9469241874997</v>
      </c>
      <c r="X7">
        <v>3.25</v>
      </c>
      <c r="Y7" s="27">
        <v>4.25</v>
      </c>
      <c r="Z7" s="1">
        <f t="shared" si="4"/>
        <v>2.270534110582876E-3</v>
      </c>
      <c r="AA7" s="3">
        <f t="shared" si="5"/>
        <v>8.4953395472703048E-3</v>
      </c>
      <c r="AB7" s="5">
        <f t="shared" si="17"/>
        <v>6.0264092321349313E-2</v>
      </c>
      <c r="AC7" s="5">
        <f t="shared" si="18"/>
        <v>0.93124056813138045</v>
      </c>
    </row>
    <row r="8" spans="1:29" x14ac:dyDescent="0.25">
      <c r="A8" t="s">
        <v>42</v>
      </c>
      <c r="B8" s="16">
        <v>3912</v>
      </c>
      <c r="C8">
        <f t="shared" si="6"/>
        <v>84</v>
      </c>
      <c r="D8" s="7">
        <f t="shared" si="15"/>
        <v>-1141.4743107269996</v>
      </c>
      <c r="E8" s="5">
        <f t="shared" si="7"/>
        <v>2.1943573667711602E-2</v>
      </c>
      <c r="F8" s="5">
        <f t="shared" si="8"/>
        <v>-0.22587911613679215</v>
      </c>
      <c r="G8" s="27">
        <v>2.25</v>
      </c>
      <c r="H8" s="10">
        <f t="shared" si="0"/>
        <v>1.1249828503999311</v>
      </c>
      <c r="I8" s="10">
        <f t="shared" si="9"/>
        <v>1.0225</v>
      </c>
      <c r="J8" s="16">
        <f t="shared" si="1"/>
        <v>3825.9168704156482</v>
      </c>
      <c r="K8" s="7">
        <f t="shared" si="10"/>
        <v>-2.0831295843518092</v>
      </c>
      <c r="L8" s="7">
        <f t="shared" si="16"/>
        <v>-1614.3693840683318</v>
      </c>
      <c r="M8" s="5">
        <f t="shared" si="11"/>
        <v>-0.29674346322084433</v>
      </c>
      <c r="N8" s="5">
        <f t="shared" si="12"/>
        <v>-5.4418223206686989E-4</v>
      </c>
      <c r="O8" s="27">
        <v>464.8</v>
      </c>
      <c r="P8" s="27">
        <v>27.937000000000001</v>
      </c>
      <c r="Q8" s="5">
        <f>O8/O3-1</f>
        <v>0.21484579194981701</v>
      </c>
      <c r="R8" s="6">
        <f t="shared" si="2"/>
        <v>454.57212713936434</v>
      </c>
      <c r="S8" s="5">
        <f>R8/R3-1</f>
        <v>0.10363673449007216</v>
      </c>
      <c r="T8" s="16">
        <f t="shared" si="3"/>
        <v>450746.21026894869</v>
      </c>
      <c r="U8" s="16">
        <f t="shared" si="13"/>
        <v>3974.2102689486928</v>
      </c>
      <c r="V8" s="8">
        <f t="shared" si="14"/>
        <v>0.10899583835140958</v>
      </c>
      <c r="W8" s="17">
        <f>W7*(1+Y8/100)</f>
        <v>1770.2442703968748</v>
      </c>
      <c r="X8">
        <v>3.5</v>
      </c>
      <c r="Y8" s="27">
        <v>5</v>
      </c>
      <c r="Z8" s="1">
        <f t="shared" si="4"/>
        <v>2.2098645172414317E-3</v>
      </c>
      <c r="AA8" s="3">
        <f t="shared" si="5"/>
        <v>8.4165232358003449E-3</v>
      </c>
      <c r="AB8" s="5">
        <f t="shared" si="17"/>
        <v>6.0105421686746992E-2</v>
      </c>
      <c r="AC8" s="5">
        <f t="shared" si="18"/>
        <v>0.93147805507745274</v>
      </c>
    </row>
    <row r="9" spans="1:29" x14ac:dyDescent="0.25">
      <c r="A9" t="s">
        <v>86</v>
      </c>
      <c r="B9" s="16">
        <v>4010</v>
      </c>
      <c r="C9">
        <f t="shared" si="6"/>
        <v>98</v>
      </c>
      <c r="D9" s="7">
        <f t="shared" si="15"/>
        <v>-1043.4743107269996</v>
      </c>
      <c r="E9" s="5">
        <f t="shared" si="7"/>
        <v>2.5051124744376319E-2</v>
      </c>
      <c r="F9" s="5">
        <f t="shared" si="8"/>
        <v>-0.20648651730790812</v>
      </c>
      <c r="G9" s="27">
        <v>2.5</v>
      </c>
      <c r="H9" s="10">
        <f t="shared" si="0"/>
        <v>1.1531074216599293</v>
      </c>
      <c r="I9" s="10">
        <f t="shared" si="9"/>
        <v>1.0480624999999999</v>
      </c>
      <c r="J9" s="16">
        <f t="shared" si="1"/>
        <v>3826.1076987297993</v>
      </c>
      <c r="K9" s="7">
        <f t="shared" si="10"/>
        <v>0.19082831415107648</v>
      </c>
      <c r="L9" s="7">
        <f t="shared" si="16"/>
        <v>-1614.1785557541807</v>
      </c>
      <c r="M9" s="5">
        <f t="shared" si="11"/>
        <v>-0.29670838633238211</v>
      </c>
      <c r="N9" s="5">
        <f t="shared" si="12"/>
        <v>4.9877799391584432E-5</v>
      </c>
      <c r="O9" s="27">
        <v>489.3</v>
      </c>
      <c r="P9" s="27">
        <v>29.384</v>
      </c>
      <c r="Q9" s="5">
        <f>O9/O3-1</f>
        <v>0.27888133821223215</v>
      </c>
      <c r="R9" s="6">
        <f t="shared" si="2"/>
        <v>466.86147057069599</v>
      </c>
      <c r="S9" s="5">
        <f>R9/R3-1</f>
        <v>0.13347351955415876</v>
      </c>
      <c r="T9" s="16">
        <f t="shared" si="3"/>
        <v>463035.36287196621</v>
      </c>
      <c r="U9" s="16">
        <f t="shared" si="13"/>
        <v>12289.152603017516</v>
      </c>
      <c r="V9" s="8">
        <f t="shared" si="14"/>
        <v>0.13923152038960129</v>
      </c>
      <c r="W9" s="17">
        <f>W8*(1+Y9/100)</f>
        <v>1858.7564839167185</v>
      </c>
      <c r="X9">
        <v>3.5</v>
      </c>
      <c r="Y9" s="27">
        <v>5</v>
      </c>
      <c r="Z9" s="1">
        <f t="shared" si="4"/>
        <v>2.1573562942200169E-3</v>
      </c>
      <c r="AA9" s="3">
        <f t="shared" si="5"/>
        <v>8.1953811567545467E-3</v>
      </c>
      <c r="AB9" s="5">
        <f t="shared" si="17"/>
        <v>6.0053137134682195E-2</v>
      </c>
      <c r="AC9" s="5">
        <f t="shared" si="18"/>
        <v>0.93175148170856326</v>
      </c>
    </row>
    <row r="10" spans="1:29" x14ac:dyDescent="0.25">
      <c r="A10" t="s">
        <v>141</v>
      </c>
      <c r="B10" s="16">
        <v>4110</v>
      </c>
      <c r="C10">
        <f t="shared" si="6"/>
        <v>100</v>
      </c>
      <c r="D10" s="7">
        <f t="shared" si="15"/>
        <v>-943.47431072699965</v>
      </c>
      <c r="E10" s="5">
        <f t="shared" si="7"/>
        <v>2.4937655860349128E-2</v>
      </c>
      <c r="F10" s="5">
        <f t="shared" si="8"/>
        <v>-0.18669815115598562</v>
      </c>
      <c r="G10" s="13">
        <v>2.5</v>
      </c>
      <c r="H10" s="10">
        <f t="shared" si="0"/>
        <v>1.1819351072014275</v>
      </c>
      <c r="I10" s="10">
        <f t="shared" ref="I10" si="19">H10/H$7*I$7</f>
        <v>1.0742640624999999</v>
      </c>
      <c r="J10" s="16">
        <f t="shared" ref="J10" si="20">B10/I10</f>
        <v>3825.8749812735173</v>
      </c>
      <c r="K10" s="7">
        <f t="shared" ref="K10" si="21">J10-J9</f>
        <v>-0.23271745628198914</v>
      </c>
      <c r="L10" s="7">
        <f t="shared" si="16"/>
        <v>-1614.4112732104627</v>
      </c>
      <c r="M10" s="5">
        <f t="shared" ref="M10" si="22">L10/J$3</f>
        <v>-0.29675116302562876</v>
      </c>
      <c r="N10" s="5">
        <f t="shared" ref="N10" si="23">J10/J9-1</f>
        <v>-6.082355087888569E-5</v>
      </c>
      <c r="O10" s="27">
        <v>511.6</v>
      </c>
      <c r="P10" s="27">
        <v>31.524999999999999</v>
      </c>
      <c r="Q10" s="5">
        <f>O10/O4-1</f>
        <v>0.23634606089898513</v>
      </c>
      <c r="R10" s="6">
        <f t="shared" ref="R10" si="24">O10/I10</f>
        <v>476.23300253516584</v>
      </c>
      <c r="S10" s="5">
        <f>R10/R4-1</f>
        <v>9.7912566888546992E-2</v>
      </c>
      <c r="T10" s="16">
        <f t="shared" ref="T10" si="25">R10*1000-J10</f>
        <v>472407.12755389232</v>
      </c>
      <c r="U10" s="16">
        <f t="shared" ref="U10" si="26">T10-T9</f>
        <v>9371.7646819261136</v>
      </c>
      <c r="V10" s="8">
        <f t="shared" ref="V10" si="27">T10/T$3-1</f>
        <v>0.16228939152303434</v>
      </c>
      <c r="W10" s="17">
        <f>W9*(1+Y10/100)</f>
        <v>1951.6943081125544</v>
      </c>
      <c r="X10">
        <v>3.5</v>
      </c>
      <c r="Y10" s="27">
        <v>5</v>
      </c>
      <c r="Z10" s="1">
        <f t="shared" ref="Z10" si="28">(B10/1000)/W10</f>
        <v>2.1058625743366035E-3</v>
      </c>
      <c r="AA10" s="3">
        <f t="shared" si="5"/>
        <v>8.0336200156372172E-3</v>
      </c>
      <c r="AB10" s="5">
        <f t="shared" si="17"/>
        <v>6.1620406567630959E-2</v>
      </c>
      <c r="AC10" s="5">
        <f t="shared" si="18"/>
        <v>0.93034597341673186</v>
      </c>
    </row>
    <row r="11" spans="1:29" x14ac:dyDescent="0.25">
      <c r="G11" s="19">
        <f>H7</f>
        <v>1.1002277265524998</v>
      </c>
      <c r="H11" s="9" t="s">
        <v>163</v>
      </c>
    </row>
    <row r="16" spans="1:29" x14ac:dyDescent="0.25">
      <c r="A16" s="9" t="s">
        <v>54</v>
      </c>
    </row>
    <row r="18" spans="1:1" x14ac:dyDescent="0.25">
      <c r="A18" s="23" t="s">
        <v>111</v>
      </c>
    </row>
    <row r="19" spans="1:1" x14ac:dyDescent="0.25">
      <c r="A19" s="32" t="s">
        <v>157</v>
      </c>
    </row>
    <row r="20" spans="1:1" x14ac:dyDescent="0.25">
      <c r="A20" s="32" t="s">
        <v>158</v>
      </c>
    </row>
    <row r="21" spans="1:1" x14ac:dyDescent="0.25">
      <c r="A21" t="s">
        <v>156</v>
      </c>
    </row>
    <row r="22" spans="1:1" x14ac:dyDescent="0.25">
      <c r="A22" s="4" t="s">
        <v>88</v>
      </c>
    </row>
    <row r="23" spans="1:1" x14ac:dyDescent="0.25">
      <c r="A23" s="4"/>
    </row>
    <row r="24" spans="1:1" x14ac:dyDescent="0.25">
      <c r="A24" s="23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s="4"/>
    </row>
    <row r="28" spans="1:1" x14ac:dyDescent="0.25">
      <c r="A28" s="23" t="s">
        <v>112</v>
      </c>
    </row>
    <row r="29" spans="1:1" x14ac:dyDescent="0.25">
      <c r="A29" t="s">
        <v>162</v>
      </c>
    </row>
    <row r="30" spans="1:1" x14ac:dyDescent="0.25">
      <c r="A30" s="4"/>
    </row>
    <row r="31" spans="1:1" x14ac:dyDescent="0.25">
      <c r="A31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H34" sqref="H34"/>
    </sheetView>
  </sheetViews>
  <sheetFormatPr defaultRowHeight="15" x14ac:dyDescent="0.25"/>
  <cols>
    <col min="1" max="1" width="9.7109375" bestFit="1" customWidth="1"/>
    <col min="2" max="2" width="11.85546875" bestFit="1" customWidth="1"/>
    <col min="3" max="3" width="16.7109375" customWidth="1"/>
    <col min="4" max="4" width="12.7109375" customWidth="1"/>
    <col min="7" max="7" width="9.85546875" bestFit="1" customWidth="1"/>
  </cols>
  <sheetData>
    <row r="1" spans="1:11" x14ac:dyDescent="0.25">
      <c r="A1" t="s">
        <v>114</v>
      </c>
    </row>
    <row r="3" spans="1:11" ht="45" x14ac:dyDescent="0.25">
      <c r="A3" s="9" t="s">
        <v>0</v>
      </c>
      <c r="B3" s="28" t="s">
        <v>115</v>
      </c>
      <c r="C3" s="28" t="s">
        <v>116</v>
      </c>
      <c r="D3" s="28" t="s">
        <v>117</v>
      </c>
    </row>
    <row r="4" spans="1:11" x14ac:dyDescent="0.25">
      <c r="A4" t="s">
        <v>118</v>
      </c>
      <c r="B4" s="16">
        <f>'ODA-GNI time series'!B35</f>
        <v>1556.5</v>
      </c>
      <c r="C4" s="16">
        <v>131966</v>
      </c>
      <c r="D4" s="5">
        <f>B4/C4</f>
        <v>1.1794704696664292E-2</v>
      </c>
      <c r="E4" s="5"/>
      <c r="F4" s="5"/>
      <c r="G4" s="8"/>
      <c r="H4" s="16"/>
      <c r="K4" s="16"/>
    </row>
    <row r="5" spans="1:11" x14ac:dyDescent="0.25">
      <c r="A5" t="s">
        <v>119</v>
      </c>
      <c r="B5" s="16">
        <f>'ODA-GNI time series'!B36</f>
        <v>1432</v>
      </c>
      <c r="C5" s="16">
        <v>145821</v>
      </c>
      <c r="D5" s="5">
        <f t="shared" ref="D5:D28" si="0">B5/C5</f>
        <v>9.8202590847683117E-3</v>
      </c>
      <c r="E5" s="5"/>
      <c r="F5" s="5"/>
      <c r="G5" s="8"/>
      <c r="H5" s="16"/>
      <c r="K5" s="16"/>
    </row>
    <row r="6" spans="1:11" x14ac:dyDescent="0.25">
      <c r="A6" t="s">
        <v>120</v>
      </c>
      <c r="B6" s="16">
        <f>'ODA-GNI time series'!B37</f>
        <v>1443</v>
      </c>
      <c r="C6" s="16">
        <v>148652</v>
      </c>
      <c r="D6" s="5">
        <f t="shared" si="0"/>
        <v>9.7072356914135027E-3</v>
      </c>
      <c r="E6" s="5"/>
      <c r="F6" s="5"/>
      <c r="G6" s="8"/>
      <c r="H6" s="16"/>
      <c r="K6" s="16"/>
    </row>
    <row r="7" spans="1:11" x14ac:dyDescent="0.25">
      <c r="A7" t="s">
        <v>121</v>
      </c>
      <c r="B7" s="16">
        <f>'ODA-GNI time series'!B38</f>
        <v>1528.6</v>
      </c>
      <c r="C7" s="16">
        <v>146772</v>
      </c>
      <c r="D7" s="5">
        <f t="shared" si="0"/>
        <v>1.0414793012291172E-2</v>
      </c>
      <c r="E7" s="5"/>
      <c r="F7" s="5"/>
      <c r="G7" s="8"/>
      <c r="H7" s="16"/>
      <c r="K7" s="16"/>
    </row>
    <row r="8" spans="1:11" x14ac:dyDescent="0.25">
      <c r="A8" t="s">
        <v>31</v>
      </c>
      <c r="B8" s="16">
        <f>'ODA-GNI time series'!B39</f>
        <v>1748.7</v>
      </c>
      <c r="C8" s="16">
        <v>155558</v>
      </c>
      <c r="D8" s="5">
        <f t="shared" si="0"/>
        <v>1.1241466205531056E-2</v>
      </c>
      <c r="E8" s="5"/>
      <c r="F8" s="5"/>
      <c r="G8" s="8"/>
      <c r="H8" s="16"/>
      <c r="K8" s="16"/>
    </row>
    <row r="9" spans="1:11" x14ac:dyDescent="0.25">
      <c r="A9" t="s">
        <v>122</v>
      </c>
      <c r="B9" s="16">
        <f>'ODA-GNI time series'!B40</f>
        <v>1623.1</v>
      </c>
      <c r="C9" s="16">
        <v>180094</v>
      </c>
      <c r="D9" s="5">
        <f t="shared" si="0"/>
        <v>9.0125156862527339E-3</v>
      </c>
      <c r="E9" s="5"/>
      <c r="F9" s="5"/>
      <c r="G9" s="8"/>
      <c r="H9" s="16"/>
      <c r="K9" s="16"/>
    </row>
    <row r="10" spans="1:11" x14ac:dyDescent="0.25">
      <c r="A10" t="s">
        <v>123</v>
      </c>
      <c r="B10" s="16">
        <f>'ODA-GNI time series'!B41</f>
        <v>1755.1</v>
      </c>
      <c r="C10" s="16">
        <v>193041</v>
      </c>
      <c r="D10" s="5">
        <f t="shared" si="0"/>
        <v>9.0918509539424271E-3</v>
      </c>
      <c r="E10" s="5"/>
      <c r="F10" s="5"/>
      <c r="G10" s="8"/>
      <c r="H10" s="16"/>
      <c r="K10" s="16"/>
    </row>
    <row r="11" spans="1:11" x14ac:dyDescent="0.25">
      <c r="A11" t="s">
        <v>124</v>
      </c>
      <c r="B11" s="16">
        <f>'ODA-GNI time series'!B42</f>
        <v>1830.8</v>
      </c>
      <c r="C11" s="16">
        <v>201259</v>
      </c>
      <c r="D11" s="5">
        <f t="shared" si="0"/>
        <v>9.0967360465867356E-3</v>
      </c>
      <c r="E11" s="5"/>
      <c r="F11" s="5"/>
      <c r="G11" s="8"/>
      <c r="H11" s="16"/>
      <c r="K11" s="16"/>
    </row>
    <row r="12" spans="1:11" x14ac:dyDescent="0.25">
      <c r="A12" t="s">
        <v>125</v>
      </c>
      <c r="B12" s="16">
        <f>'ODA-GNI time series'!B43</f>
        <v>1973.1</v>
      </c>
      <c r="C12" s="16">
        <v>215361</v>
      </c>
      <c r="D12" s="5">
        <f t="shared" si="0"/>
        <v>9.1618259573460377E-3</v>
      </c>
      <c r="E12" s="5"/>
      <c r="F12" s="5"/>
      <c r="G12" s="8"/>
      <c r="H12" s="16"/>
      <c r="K12" s="16"/>
    </row>
    <row r="13" spans="1:11" x14ac:dyDescent="0.25">
      <c r="A13" t="s">
        <v>126</v>
      </c>
      <c r="B13" s="16">
        <f>'ODA-GNI time series'!B44</f>
        <v>2198.1</v>
      </c>
      <c r="C13" s="16">
        <v>229245</v>
      </c>
      <c r="D13" s="5">
        <f t="shared" si="0"/>
        <v>9.588431590656284E-3</v>
      </c>
      <c r="E13" s="5"/>
      <c r="F13" s="5"/>
      <c r="G13" s="8"/>
      <c r="H13" s="16"/>
      <c r="K13" s="16"/>
    </row>
    <row r="14" spans="1:11" x14ac:dyDescent="0.25">
      <c r="A14" t="s">
        <v>127</v>
      </c>
      <c r="B14" s="16">
        <f>'ODA-GNI time series'!B45</f>
        <v>2683.5008565621001</v>
      </c>
      <c r="C14" s="16">
        <v>242334</v>
      </c>
      <c r="D14" s="5">
        <f t="shared" si="0"/>
        <v>1.1073563167207656E-2</v>
      </c>
      <c r="E14" s="5"/>
      <c r="F14" s="5"/>
      <c r="G14" s="8"/>
      <c r="H14" s="16"/>
      <c r="K14" s="16"/>
    </row>
    <row r="15" spans="1:11" x14ac:dyDescent="0.25">
      <c r="A15" t="s">
        <v>128</v>
      </c>
      <c r="B15" s="16">
        <f>'ODA-GNI time series'!B46</f>
        <v>2977.9141820124996</v>
      </c>
      <c r="C15" s="16">
        <v>259276</v>
      </c>
      <c r="D15" s="5">
        <f t="shared" si="0"/>
        <v>1.1485498781269764E-2</v>
      </c>
      <c r="E15" s="5"/>
      <c r="F15" s="5"/>
      <c r="G15" s="8"/>
      <c r="H15" s="16"/>
      <c r="K15" s="16"/>
    </row>
    <row r="16" spans="1:11" x14ac:dyDescent="0.25">
      <c r="A16" t="s">
        <v>129</v>
      </c>
      <c r="B16" s="16">
        <f>'ODA-GNI time series'!B47</f>
        <v>3115.0166879971998</v>
      </c>
      <c r="C16" s="16">
        <v>280188</v>
      </c>
      <c r="D16" s="5">
        <f t="shared" si="0"/>
        <v>1.1117594929109026E-2</v>
      </c>
      <c r="E16" s="5"/>
      <c r="F16" s="5"/>
      <c r="G16" s="8"/>
      <c r="H16" s="16"/>
      <c r="K16" s="16"/>
    </row>
    <row r="17" spans="1:11" x14ac:dyDescent="0.25">
      <c r="A17" t="s">
        <v>130</v>
      </c>
      <c r="B17" s="16">
        <f>'ODA-GNI time series'!B48</f>
        <v>3737.3768989748</v>
      </c>
      <c r="C17" s="16">
        <v>324612</v>
      </c>
      <c r="D17" s="5">
        <f t="shared" si="0"/>
        <v>1.1513366415828128E-2</v>
      </c>
      <c r="E17" s="5"/>
      <c r="F17" s="5"/>
      <c r="G17" s="8"/>
      <c r="H17" s="16"/>
      <c r="K17" s="16"/>
    </row>
    <row r="18" spans="1:11" x14ac:dyDescent="0.25">
      <c r="A18" t="s">
        <v>131</v>
      </c>
      <c r="B18" s="16">
        <f>'ODA-GNI time series'!B49</f>
        <v>3877.7029709799999</v>
      </c>
      <c r="C18" s="16">
        <v>340208</v>
      </c>
      <c r="D18" s="5">
        <f t="shared" si="0"/>
        <v>1.13980358221441E-2</v>
      </c>
      <c r="E18" s="5"/>
      <c r="F18" s="5"/>
      <c r="G18" s="8"/>
      <c r="H18" s="16"/>
      <c r="K18" s="16"/>
    </row>
    <row r="19" spans="1:11" x14ac:dyDescent="0.25">
      <c r="A19" t="s">
        <v>132</v>
      </c>
      <c r="B19" s="16">
        <f>'ODA-GNI time series'!B50</f>
        <v>4303.1378796107001</v>
      </c>
      <c r="C19" s="16">
        <v>356353</v>
      </c>
      <c r="D19" s="5">
        <f t="shared" si="0"/>
        <v>1.2075492221507046E-2</v>
      </c>
      <c r="E19" s="5"/>
      <c r="F19" s="5"/>
      <c r="G19" s="8"/>
      <c r="H19" s="16"/>
      <c r="K19" s="16"/>
    </row>
    <row r="20" spans="1:11" x14ac:dyDescent="0.25">
      <c r="A20" t="s">
        <v>133</v>
      </c>
      <c r="B20" s="16">
        <f>'ODA-GNI time series'!B51</f>
        <v>4825.1585243998998</v>
      </c>
      <c r="C20" s="16">
        <v>378005</v>
      </c>
      <c r="D20" s="5">
        <f t="shared" si="0"/>
        <v>1.2764800794698218E-2</v>
      </c>
      <c r="E20" s="5"/>
      <c r="F20" s="5"/>
      <c r="G20" s="8"/>
      <c r="H20" s="16"/>
      <c r="K20" s="16"/>
    </row>
    <row r="21" spans="1:11" x14ac:dyDescent="0.25">
      <c r="A21" t="s">
        <v>134</v>
      </c>
      <c r="B21" s="29">
        <f>'ODA-GNI time series'!B52</f>
        <v>5053.4743107269996</v>
      </c>
      <c r="C21" s="29">
        <f>'2016-17 budget'!O3*1000</f>
        <v>382600</v>
      </c>
      <c r="D21" s="5">
        <f t="shared" si="0"/>
        <v>1.3208244408591217E-2</v>
      </c>
      <c r="E21" s="5"/>
      <c r="F21" s="5"/>
      <c r="G21" s="8"/>
      <c r="H21" s="16"/>
      <c r="K21" s="16"/>
    </row>
    <row r="22" spans="1:11" x14ac:dyDescent="0.25">
      <c r="A22" t="s">
        <v>135</v>
      </c>
      <c r="B22" s="29">
        <f>'ODA-GNI time series'!B53</f>
        <v>5032</v>
      </c>
      <c r="C22" s="29">
        <f>'2016-17 budget'!O4*1000</f>
        <v>413800</v>
      </c>
      <c r="D22" s="5">
        <f t="shared" si="0"/>
        <v>1.2160463992266796E-2</v>
      </c>
      <c r="E22" s="5"/>
      <c r="F22" s="5"/>
      <c r="G22" s="8"/>
      <c r="H22" s="16"/>
      <c r="K22" s="16"/>
    </row>
    <row r="23" spans="1:11" x14ac:dyDescent="0.25">
      <c r="A23" t="s">
        <v>136</v>
      </c>
      <c r="B23" s="29">
        <f>'ODA-GNI time series'!B54</f>
        <v>5032</v>
      </c>
      <c r="C23" s="29">
        <f>'2016-17 budget'!O5*1000</f>
        <v>420300</v>
      </c>
      <c r="D23" s="5">
        <f t="shared" si="0"/>
        <v>1.1972400666190815E-2</v>
      </c>
      <c r="E23" s="5"/>
      <c r="F23" s="5"/>
      <c r="G23" s="8"/>
      <c r="H23" s="16"/>
      <c r="K23" s="16"/>
    </row>
    <row r="24" spans="1:11" x14ac:dyDescent="0.25">
      <c r="A24" t="s">
        <v>137</v>
      </c>
      <c r="B24" s="29">
        <f>'ODA-GNI time series'!B55</f>
        <v>4052</v>
      </c>
      <c r="C24" s="29">
        <f>'2016-17 budget'!O6*1000</f>
        <v>431500</v>
      </c>
      <c r="D24" s="5">
        <f t="shared" si="0"/>
        <v>9.3904982618771733E-3</v>
      </c>
      <c r="E24" s="5"/>
      <c r="F24" s="5"/>
      <c r="G24" s="8"/>
      <c r="H24" s="16"/>
      <c r="K24" s="16"/>
    </row>
    <row r="25" spans="1:11" x14ac:dyDescent="0.25">
      <c r="A25" t="s">
        <v>138</v>
      </c>
      <c r="B25" s="29">
        <f>'ODA-GNI time series'!B56</f>
        <v>3828</v>
      </c>
      <c r="C25" s="29">
        <f>'2016-17 budget'!O7*1000</f>
        <v>450600</v>
      </c>
      <c r="D25" s="5">
        <f t="shared" si="0"/>
        <v>8.4953395472703065E-3</v>
      </c>
      <c r="E25" s="5"/>
      <c r="F25" s="5"/>
      <c r="G25" s="8"/>
      <c r="H25" s="16"/>
      <c r="K25" s="16"/>
    </row>
    <row r="26" spans="1:11" x14ac:dyDescent="0.25">
      <c r="A26" t="s">
        <v>139</v>
      </c>
      <c r="B26" s="29">
        <f>'ODA-GNI time series'!B57</f>
        <v>3912</v>
      </c>
      <c r="C26" s="29">
        <f>'2016-17 budget'!O8*1000</f>
        <v>464800</v>
      </c>
      <c r="D26" s="5">
        <f t="shared" si="0"/>
        <v>8.4165232358003449E-3</v>
      </c>
      <c r="E26" s="5"/>
      <c r="F26" s="5"/>
      <c r="G26" s="8"/>
      <c r="H26" s="16"/>
      <c r="K26" s="16"/>
    </row>
    <row r="27" spans="1:11" x14ac:dyDescent="0.25">
      <c r="A27" t="s">
        <v>140</v>
      </c>
      <c r="B27" s="29">
        <f>'ODA-GNI time series'!B58</f>
        <v>4010</v>
      </c>
      <c r="C27" s="29">
        <f>'2016-17 budget'!O9*1000</f>
        <v>489300</v>
      </c>
      <c r="D27" s="5">
        <f t="shared" si="0"/>
        <v>8.1953811567545467E-3</v>
      </c>
      <c r="E27" s="5"/>
      <c r="F27" s="5"/>
      <c r="G27" s="8"/>
    </row>
    <row r="28" spans="1:11" x14ac:dyDescent="0.25">
      <c r="A28" t="s">
        <v>155</v>
      </c>
      <c r="B28" s="29">
        <f>'ODA-GNI time series'!B59</f>
        <v>4110</v>
      </c>
      <c r="C28" s="29">
        <f>'2016-17 budget'!O10*1000</f>
        <v>511600</v>
      </c>
      <c r="D28" s="5">
        <f t="shared" si="0"/>
        <v>8.0336200156372172E-3</v>
      </c>
    </row>
    <row r="30" spans="1:11" x14ac:dyDescent="0.25">
      <c r="A30" t="s">
        <v>142</v>
      </c>
    </row>
    <row r="31" spans="1:11" x14ac:dyDescent="0.25">
      <c r="A31" t="s">
        <v>143</v>
      </c>
    </row>
    <row r="32" spans="1:11" x14ac:dyDescent="0.25">
      <c r="A3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Q133"/>
  <sheetViews>
    <sheetView zoomScale="85" zoomScaleNormal="85" workbookViewId="0">
      <pane ySplit="10" topLeftCell="A11" activePane="bottomLeft" state="frozen"/>
      <selection activeCell="J39" sqref="J39"/>
      <selection pane="bottomLeft" activeCell="E39" sqref="E39"/>
    </sheetView>
  </sheetViews>
  <sheetFormatPr defaultColWidth="27.140625" defaultRowHeight="15" outlineLevelCol="1" x14ac:dyDescent="0.25"/>
  <cols>
    <col min="2" max="2" width="21.42578125" customWidth="1"/>
    <col min="3" max="3" width="43.42578125" customWidth="1" outlineLevel="1"/>
    <col min="4" max="4" width="24.5703125" bestFit="1" customWidth="1"/>
    <col min="5" max="5" width="22.140625" customWidth="1"/>
    <col min="6" max="6" width="15.28515625" bestFit="1" customWidth="1"/>
    <col min="7" max="7" width="22" bestFit="1" customWidth="1"/>
    <col min="8" max="8" width="25.85546875" bestFit="1" customWidth="1"/>
    <col min="10" max="10" width="10.85546875" customWidth="1"/>
    <col min="11" max="11" width="20" bestFit="1" customWidth="1"/>
    <col min="14" max="14" width="4.85546875" customWidth="1"/>
    <col min="16" max="16" width="3" customWidth="1"/>
  </cols>
  <sheetData>
    <row r="2" spans="1:17" x14ac:dyDescent="0.25">
      <c r="O2" s="9" t="s">
        <v>107</v>
      </c>
      <c r="Q2" t="s">
        <v>110</v>
      </c>
    </row>
    <row r="3" spans="1:17" x14ac:dyDescent="0.25">
      <c r="O3" t="s">
        <v>79</v>
      </c>
      <c r="Q3" s="4" t="s">
        <v>91</v>
      </c>
    </row>
    <row r="4" spans="1:17" x14ac:dyDescent="0.25">
      <c r="O4" t="s">
        <v>87</v>
      </c>
      <c r="Q4" s="4" t="s">
        <v>108</v>
      </c>
    </row>
    <row r="5" spans="1:17" x14ac:dyDescent="0.25">
      <c r="Q5" s="4" t="s">
        <v>109</v>
      </c>
    </row>
    <row r="6" spans="1:17" ht="9.75" customHeight="1" x14ac:dyDescent="0.25"/>
    <row r="7" spans="1:17" s="15" customFormat="1" ht="30" x14ac:dyDescent="0.25">
      <c r="B7" s="15" t="s">
        <v>56</v>
      </c>
      <c r="C7" s="30" t="s">
        <v>78</v>
      </c>
      <c r="D7" s="30"/>
      <c r="E7" s="15" t="s">
        <v>57</v>
      </c>
      <c r="F7" s="15" t="s">
        <v>58</v>
      </c>
    </row>
    <row r="8" spans="1:17" x14ac:dyDescent="0.25">
      <c r="A8" t="s">
        <v>40</v>
      </c>
      <c r="B8" t="s">
        <v>59</v>
      </c>
      <c r="C8" s="31" t="s">
        <v>59</v>
      </c>
      <c r="D8" s="31"/>
      <c r="E8" t="s">
        <v>60</v>
      </c>
      <c r="F8" t="s">
        <v>60</v>
      </c>
      <c r="G8" t="s">
        <v>59</v>
      </c>
      <c r="H8" t="s">
        <v>59</v>
      </c>
      <c r="I8" t="s">
        <v>147</v>
      </c>
    </row>
    <row r="9" spans="1:17" x14ac:dyDescent="0.25">
      <c r="A9" t="s">
        <v>61</v>
      </c>
      <c r="B9" t="s">
        <v>46</v>
      </c>
      <c r="C9" s="31" t="s">
        <v>46</v>
      </c>
      <c r="D9" s="31"/>
      <c r="E9" t="s">
        <v>46</v>
      </c>
      <c r="F9" t="s">
        <v>46</v>
      </c>
      <c r="G9" t="s">
        <v>83</v>
      </c>
      <c r="H9" t="s">
        <v>83</v>
      </c>
      <c r="I9" t="s">
        <v>148</v>
      </c>
    </row>
    <row r="10" spans="1:17" x14ac:dyDescent="0.25">
      <c r="A10" t="s">
        <v>62</v>
      </c>
      <c r="B10" t="s">
        <v>63</v>
      </c>
      <c r="C10" t="s">
        <v>77</v>
      </c>
      <c r="D10" t="s">
        <v>154</v>
      </c>
      <c r="E10" t="s">
        <v>64</v>
      </c>
      <c r="F10" t="s">
        <v>65</v>
      </c>
      <c r="G10" t="s">
        <v>63</v>
      </c>
      <c r="H10" t="s">
        <v>85</v>
      </c>
      <c r="I10" t="s">
        <v>149</v>
      </c>
    </row>
    <row r="11" spans="1:17" x14ac:dyDescent="0.25">
      <c r="A11" t="s">
        <v>66</v>
      </c>
      <c r="B11" s="18">
        <v>200.5</v>
      </c>
      <c r="C11" s="18">
        <v>1979.7</v>
      </c>
      <c r="D11" s="21">
        <f>C11*'2016-17 budget'!G$11</f>
        <v>2178.1208302559839</v>
      </c>
      <c r="E11" t="s">
        <v>67</v>
      </c>
      <c r="F11" s="10">
        <v>0.45</v>
      </c>
      <c r="I11" s="10">
        <f>B11/D11</f>
        <v>9.2051826149808322E-2</v>
      </c>
      <c r="J11" s="20"/>
    </row>
    <row r="12" spans="1:17" x14ac:dyDescent="0.25">
      <c r="A12" t="s">
        <v>68</v>
      </c>
      <c r="B12" s="18">
        <v>219.2</v>
      </c>
      <c r="C12" s="18">
        <v>2064.1</v>
      </c>
      <c r="D12" s="21">
        <f>C12*'2016-17 budget'!G$11</f>
        <v>2270.9800503770148</v>
      </c>
      <c r="E12" s="5">
        <f>(D12-D11)/D11</f>
        <v>4.2632722129615525E-2</v>
      </c>
      <c r="F12" s="10">
        <v>0.44</v>
      </c>
      <c r="G12" s="18">
        <f>B12-B11</f>
        <v>18.699999999999989</v>
      </c>
      <c r="H12" s="18">
        <f t="shared" ref="H12:H57" si="0">D12-D11</f>
        <v>92.85922012103083</v>
      </c>
      <c r="I12" s="10">
        <f t="shared" ref="I12:I59" si="1">B12/D12</f>
        <v>9.652220413103571E-2</v>
      </c>
      <c r="J12" s="20"/>
    </row>
    <row r="13" spans="1:17" x14ac:dyDescent="0.25">
      <c r="A13" t="s">
        <v>69</v>
      </c>
      <c r="B13" s="18">
        <v>264.89999999999998</v>
      </c>
      <c r="C13" s="18">
        <v>2190.3000000000002</v>
      </c>
      <c r="D13" s="21">
        <f>C13*'2016-17 budget'!G$11</f>
        <v>2409.8287894679406</v>
      </c>
      <c r="E13" s="5">
        <f t="shared" ref="E13:E57" si="2">(D13-D12)/D12</f>
        <v>6.1140448621675475E-2</v>
      </c>
      <c r="F13" s="10">
        <v>0.44</v>
      </c>
      <c r="G13" s="18">
        <f t="shared" ref="G13:G57" si="3">B13-B12</f>
        <v>45.699999999999989</v>
      </c>
      <c r="H13" s="18">
        <f t="shared" si="0"/>
        <v>138.84873909092585</v>
      </c>
      <c r="I13" s="10">
        <f t="shared" si="1"/>
        <v>0.10992482169593737</v>
      </c>
      <c r="J13" s="20"/>
    </row>
    <row r="14" spans="1:17" x14ac:dyDescent="0.25">
      <c r="A14" t="s">
        <v>6</v>
      </c>
      <c r="B14" s="18">
        <v>279.54000000000002</v>
      </c>
      <c r="C14" s="18">
        <v>2268.6</v>
      </c>
      <c r="D14" s="21">
        <f>C14*'2016-17 budget'!G$11</f>
        <v>2495.976620457001</v>
      </c>
      <c r="E14" s="5">
        <f t="shared" si="2"/>
        <v>3.5748527598958892E-2</v>
      </c>
      <c r="F14" s="10">
        <v>0.47</v>
      </c>
      <c r="G14" s="18">
        <f t="shared" si="3"/>
        <v>14.640000000000043</v>
      </c>
      <c r="H14" s="18">
        <f t="shared" si="0"/>
        <v>86.147830989060367</v>
      </c>
      <c r="I14" s="10">
        <f t="shared" si="1"/>
        <v>0.11199624135454347</v>
      </c>
      <c r="J14" s="20"/>
    </row>
    <row r="15" spans="1:17" x14ac:dyDescent="0.25">
      <c r="A15" t="s">
        <v>7</v>
      </c>
      <c r="B15" s="18">
        <v>305.113</v>
      </c>
      <c r="C15" s="18">
        <v>2092.8000000000002</v>
      </c>
      <c r="D15" s="21">
        <f>C15*'2016-17 budget'!G$11</f>
        <v>2302.5565861290715</v>
      </c>
      <c r="E15" s="5">
        <f t="shared" si="2"/>
        <v>-7.7492726791853997E-2</v>
      </c>
      <c r="F15" s="10">
        <v>0.43</v>
      </c>
      <c r="G15" s="18">
        <f t="shared" si="3"/>
        <v>25.572999999999979</v>
      </c>
      <c r="H15" s="18">
        <f t="shared" si="0"/>
        <v>-193.42003432792944</v>
      </c>
      <c r="I15" s="10">
        <f t="shared" si="1"/>
        <v>0.13251053278692221</v>
      </c>
      <c r="J15" s="20"/>
    </row>
    <row r="16" spans="1:17" x14ac:dyDescent="0.25">
      <c r="A16" t="s">
        <v>8</v>
      </c>
      <c r="B16" s="18">
        <v>321.05700000000002</v>
      </c>
      <c r="C16" s="18">
        <v>2014.2</v>
      </c>
      <c r="D16" s="21">
        <f>C16*'2016-17 budget'!G$11</f>
        <v>2216.0786868220453</v>
      </c>
      <c r="E16" s="5">
        <f t="shared" si="2"/>
        <v>-3.7557339449541198E-2</v>
      </c>
      <c r="F16" s="10">
        <v>0.4</v>
      </c>
      <c r="G16" s="18">
        <f t="shared" si="3"/>
        <v>15.944000000000017</v>
      </c>
      <c r="H16" s="18">
        <f t="shared" si="0"/>
        <v>-86.477899307026291</v>
      </c>
      <c r="I16" s="10">
        <f t="shared" si="1"/>
        <v>0.14487617335484146</v>
      </c>
      <c r="J16" s="20"/>
    </row>
    <row r="17" spans="1:10" x14ac:dyDescent="0.25">
      <c r="A17" t="s">
        <v>9</v>
      </c>
      <c r="B17" s="18">
        <v>339.40499999999997</v>
      </c>
      <c r="C17" s="18">
        <v>2044.1</v>
      </c>
      <c r="D17" s="21">
        <f>C17*'2016-17 budget'!G$11</f>
        <v>2248.9754958459648</v>
      </c>
      <c r="E17" s="5">
        <f t="shared" si="2"/>
        <v>1.4844603316453098E-2</v>
      </c>
      <c r="F17" s="10">
        <v>0.41</v>
      </c>
      <c r="G17" s="18">
        <f t="shared" si="3"/>
        <v>18.347999999999956</v>
      </c>
      <c r="H17" s="18">
        <f t="shared" si="0"/>
        <v>32.896809023919559</v>
      </c>
      <c r="I17" s="10">
        <f t="shared" si="1"/>
        <v>0.15091538375002653</v>
      </c>
      <c r="J17" s="20"/>
    </row>
    <row r="18" spans="1:10" x14ac:dyDescent="0.25">
      <c r="A18" t="s">
        <v>10</v>
      </c>
      <c r="B18" s="18">
        <v>391.56599999999997</v>
      </c>
      <c r="C18" s="18">
        <v>2126.6</v>
      </c>
      <c r="D18" s="21">
        <f>C18*'2016-17 budget'!G$11</f>
        <v>2339.7442832865459</v>
      </c>
      <c r="E18" s="5">
        <f t="shared" si="2"/>
        <v>4.0360060662394122E-2</v>
      </c>
      <c r="F18" s="10">
        <v>0.4</v>
      </c>
      <c r="G18" s="18">
        <f t="shared" si="3"/>
        <v>52.161000000000001</v>
      </c>
      <c r="H18" s="18">
        <f t="shared" si="0"/>
        <v>90.768787440581036</v>
      </c>
      <c r="I18" s="10">
        <f t="shared" si="1"/>
        <v>0.1673541860095851</v>
      </c>
      <c r="J18" s="20"/>
    </row>
    <row r="19" spans="1:10" x14ac:dyDescent="0.25">
      <c r="A19" t="s">
        <v>11</v>
      </c>
      <c r="B19" s="18">
        <v>410.75400000000002</v>
      </c>
      <c r="C19" s="18">
        <v>2111.6</v>
      </c>
      <c r="D19" s="21">
        <f>C19*'2016-17 budget'!G$11</f>
        <v>2323.2408673882583</v>
      </c>
      <c r="E19" s="5">
        <f t="shared" si="2"/>
        <v>-7.0535126492993891E-3</v>
      </c>
      <c r="F19" s="10">
        <v>0.38</v>
      </c>
      <c r="G19" s="18">
        <f t="shared" si="3"/>
        <v>19.188000000000045</v>
      </c>
      <c r="H19" s="18">
        <f t="shared" si="0"/>
        <v>-16.503415898287585</v>
      </c>
      <c r="I19" s="10">
        <f t="shared" si="1"/>
        <v>0.17680215847001762</v>
      </c>
      <c r="J19" s="20"/>
    </row>
    <row r="20" spans="1:10" x14ac:dyDescent="0.25">
      <c r="A20" t="s">
        <v>12</v>
      </c>
      <c r="B20" s="18">
        <v>442.702</v>
      </c>
      <c r="C20" s="18">
        <v>2131.6</v>
      </c>
      <c r="D20" s="21">
        <f>C20*'2016-17 budget'!G$11</f>
        <v>2345.2454219193082</v>
      </c>
      <c r="E20" s="5">
        <f t="shared" si="2"/>
        <v>9.4714908126538981E-3</v>
      </c>
      <c r="F20" s="10">
        <v>0.37</v>
      </c>
      <c r="G20" s="18">
        <f t="shared" si="3"/>
        <v>31.947999999999979</v>
      </c>
      <c r="H20" s="18">
        <f t="shared" si="0"/>
        <v>22.004554531049962</v>
      </c>
      <c r="I20" s="10">
        <f t="shared" si="1"/>
        <v>0.18876574530852314</v>
      </c>
      <c r="J20" s="20"/>
    </row>
    <row r="21" spans="1:10" x14ac:dyDescent="0.25">
      <c r="A21" t="s">
        <v>13</v>
      </c>
      <c r="B21" s="18">
        <v>499.19099999999997</v>
      </c>
      <c r="C21" s="18">
        <v>2186.1999999999998</v>
      </c>
      <c r="D21" s="21">
        <f>C21*'2016-17 budget'!G$11</f>
        <v>2405.3178557890747</v>
      </c>
      <c r="E21" s="5">
        <f t="shared" si="2"/>
        <v>2.5614561831488063E-2</v>
      </c>
      <c r="F21" s="10">
        <v>0.38</v>
      </c>
      <c r="G21" s="18">
        <f t="shared" si="3"/>
        <v>56.488999999999976</v>
      </c>
      <c r="H21" s="18">
        <f t="shared" si="0"/>
        <v>60.072433869766428</v>
      </c>
      <c r="I21" s="10">
        <f t="shared" si="1"/>
        <v>0.20753639640538829</v>
      </c>
      <c r="J21" s="20"/>
    </row>
    <row r="22" spans="1:10" x14ac:dyDescent="0.25">
      <c r="A22" t="s">
        <v>14</v>
      </c>
      <c r="B22" s="18">
        <v>546.86800000000005</v>
      </c>
      <c r="C22" s="18">
        <v>2214.1999999999998</v>
      </c>
      <c r="D22" s="21">
        <f>C22*'2016-17 budget'!G$11</f>
        <v>2436.1242321325449</v>
      </c>
      <c r="E22" s="5">
        <f t="shared" si="2"/>
        <v>1.2807611380477637E-2</v>
      </c>
      <c r="F22" s="10">
        <v>0.4</v>
      </c>
      <c r="G22" s="18">
        <f t="shared" si="3"/>
        <v>47.677000000000078</v>
      </c>
      <c r="H22" s="18">
        <f t="shared" si="0"/>
        <v>30.80637634347022</v>
      </c>
      <c r="I22" s="10">
        <f t="shared" si="1"/>
        <v>0.22448280460692285</v>
      </c>
      <c r="J22" s="20"/>
    </row>
    <row r="23" spans="1:10" x14ac:dyDescent="0.25">
      <c r="A23" t="s">
        <v>15</v>
      </c>
      <c r="B23" s="18">
        <v>931.8</v>
      </c>
      <c r="C23" s="18">
        <v>2595.5431754874653</v>
      </c>
      <c r="D23" s="21">
        <f>C23*'2016-17 budget'!G$11</f>
        <v>2855.6885671354298</v>
      </c>
      <c r="E23" s="5">
        <f t="shared" si="2"/>
        <v>0.17222616542654925</v>
      </c>
      <c r="F23" s="10">
        <v>0.44093847304114103</v>
      </c>
      <c r="G23" s="18">
        <f t="shared" si="3"/>
        <v>384.9319999999999</v>
      </c>
      <c r="H23" s="18">
        <f t="shared" si="0"/>
        <v>419.56433500288495</v>
      </c>
      <c r="I23" s="10">
        <f t="shared" si="1"/>
        <v>0.32629608519765796</v>
      </c>
      <c r="J23" s="20"/>
    </row>
    <row r="24" spans="1:10" x14ac:dyDescent="0.25">
      <c r="A24" t="s">
        <v>16</v>
      </c>
      <c r="B24" s="18">
        <v>1011.4</v>
      </c>
      <c r="C24" s="18">
        <v>2697.0666666666666</v>
      </c>
      <c r="D24" s="21">
        <f>C24*'2016-17 budget'!G$11</f>
        <v>2967.3875270271956</v>
      </c>
      <c r="E24" s="5">
        <f t="shared" si="2"/>
        <v>3.9114545324461666E-2</v>
      </c>
      <c r="F24" s="10">
        <v>0.43546400985111383</v>
      </c>
      <c r="G24" s="18">
        <f t="shared" si="3"/>
        <v>79.600000000000023</v>
      </c>
      <c r="H24" s="18">
        <f t="shared" si="0"/>
        <v>111.69895989176575</v>
      </c>
      <c r="I24" s="10">
        <f t="shared" si="1"/>
        <v>0.34083852910618867</v>
      </c>
      <c r="J24" s="20"/>
    </row>
    <row r="25" spans="1:10" x14ac:dyDescent="0.25">
      <c r="A25" t="s">
        <v>17</v>
      </c>
      <c r="B25" s="18">
        <v>1031</v>
      </c>
      <c r="C25" s="18">
        <v>2583.9598997493736</v>
      </c>
      <c r="D25" s="21">
        <f>C25*'2016-17 budget'!G$11</f>
        <v>2842.9443260040784</v>
      </c>
      <c r="E25" s="5">
        <f t="shared" si="2"/>
        <v>-4.1936956292253309E-2</v>
      </c>
      <c r="F25" s="10">
        <v>0.40233047292366647</v>
      </c>
      <c r="G25" s="18">
        <f t="shared" si="3"/>
        <v>19.600000000000023</v>
      </c>
      <c r="H25" s="18">
        <f t="shared" si="0"/>
        <v>-124.44320102311713</v>
      </c>
      <c r="I25" s="10">
        <f t="shared" si="1"/>
        <v>0.36265219496898476</v>
      </c>
      <c r="J25" s="20"/>
    </row>
    <row r="26" spans="1:10" x14ac:dyDescent="0.25">
      <c r="A26" t="s">
        <v>18</v>
      </c>
      <c r="B26" s="18">
        <v>975.6</v>
      </c>
      <c r="C26" s="18">
        <v>2268.8372093023258</v>
      </c>
      <c r="D26" s="21">
        <f>C26*'2016-17 budget'!G$11</f>
        <v>2496.2376047084163</v>
      </c>
      <c r="E26" s="5">
        <f t="shared" si="2"/>
        <v>-0.12195339814585057</v>
      </c>
      <c r="F26" s="10">
        <v>0.34691700448047791</v>
      </c>
      <c r="G26" s="18">
        <f t="shared" si="3"/>
        <v>-55.399999999999977</v>
      </c>
      <c r="H26" s="18">
        <f t="shared" si="0"/>
        <v>-346.70672129566219</v>
      </c>
      <c r="I26" s="10">
        <f t="shared" si="1"/>
        <v>0.39082818004176295</v>
      </c>
      <c r="J26" s="20"/>
    </row>
    <row r="27" spans="1:10" x14ac:dyDescent="0.25">
      <c r="A27" t="s">
        <v>19</v>
      </c>
      <c r="B27" s="18">
        <v>1019.6</v>
      </c>
      <c r="C27" s="18">
        <v>2226.2008733624457</v>
      </c>
      <c r="D27" s="21">
        <f>C27*'2016-17 budget'!G$11</f>
        <v>2449.3279257487529</v>
      </c>
      <c r="E27" s="5">
        <f t="shared" si="2"/>
        <v>-1.8792152987032181E-2</v>
      </c>
      <c r="F27" s="10">
        <v>0.31995882836574974</v>
      </c>
      <c r="G27" s="18">
        <f t="shared" si="3"/>
        <v>44</v>
      </c>
      <c r="H27" s="18">
        <f t="shared" si="0"/>
        <v>-46.909678959663324</v>
      </c>
      <c r="I27" s="10">
        <f t="shared" si="1"/>
        <v>0.41627745688169177</v>
      </c>
      <c r="J27" s="20"/>
    </row>
    <row r="28" spans="1:10" x14ac:dyDescent="0.25">
      <c r="A28" t="s">
        <v>20</v>
      </c>
      <c r="B28" s="18">
        <v>1194.5999999999999</v>
      </c>
      <c r="C28" s="18">
        <v>2398.7951807228915</v>
      </c>
      <c r="D28" s="21">
        <f>C28*'2016-17 budget'!G$11</f>
        <v>2639.2209681518398</v>
      </c>
      <c r="E28" s="5">
        <f t="shared" si="2"/>
        <v>7.7528631591883335E-2</v>
      </c>
      <c r="F28" s="10">
        <v>0.33333054302240894</v>
      </c>
      <c r="G28" s="18">
        <f t="shared" si="3"/>
        <v>174.99999999999989</v>
      </c>
      <c r="H28" s="18">
        <f t="shared" si="0"/>
        <v>189.89304240308684</v>
      </c>
      <c r="I28" s="10">
        <f t="shared" si="1"/>
        <v>0.45263356665301857</v>
      </c>
      <c r="J28" s="20"/>
    </row>
    <row r="29" spans="1:10" x14ac:dyDescent="0.25">
      <c r="A29" t="s">
        <v>21</v>
      </c>
      <c r="B29" s="18">
        <v>1173.8</v>
      </c>
      <c r="C29" s="18">
        <v>2227.3244781783678</v>
      </c>
      <c r="D29" s="21">
        <f>C29*'2016-17 budget'!G$11</f>
        <v>2450.5641469209186</v>
      </c>
      <c r="E29" s="5">
        <f t="shared" si="2"/>
        <v>-7.1482010603693941E-2</v>
      </c>
      <c r="F29" s="10">
        <v>0.30043434749335168</v>
      </c>
      <c r="G29" s="18">
        <f t="shared" si="3"/>
        <v>-20.799999999999955</v>
      </c>
      <c r="H29" s="18">
        <f t="shared" si="0"/>
        <v>-188.6568212309212</v>
      </c>
      <c r="I29" s="10">
        <f t="shared" si="1"/>
        <v>0.47899174623723051</v>
      </c>
      <c r="J29" s="20"/>
    </row>
    <row r="30" spans="1:10" x14ac:dyDescent="0.25">
      <c r="A30" t="s">
        <v>22</v>
      </c>
      <c r="B30" s="18">
        <v>1261</v>
      </c>
      <c r="C30" s="18">
        <v>2296.903460837887</v>
      </c>
      <c r="D30" s="21">
        <f>C30*'2016-17 budget'!G$11</f>
        <v>2527.1168728282373</v>
      </c>
      <c r="E30" s="5">
        <f t="shared" si="2"/>
        <v>3.1238817397824744E-2</v>
      </c>
      <c r="F30" s="10">
        <v>0.31625014107113747</v>
      </c>
      <c r="G30" s="18">
        <f t="shared" si="3"/>
        <v>87.200000000000045</v>
      </c>
      <c r="H30" s="18">
        <f t="shared" si="0"/>
        <v>76.552725907318745</v>
      </c>
      <c r="I30" s="10">
        <f t="shared" si="1"/>
        <v>0.49898760661146019</v>
      </c>
      <c r="J30" s="20"/>
    </row>
    <row r="31" spans="1:10" x14ac:dyDescent="0.25">
      <c r="A31" t="s">
        <v>23</v>
      </c>
      <c r="B31" s="18">
        <v>1330.3</v>
      </c>
      <c r="C31" s="18">
        <v>2375.5357142857142</v>
      </c>
      <c r="D31" s="21">
        <f>C31*'2016-17 budget'!G$11</f>
        <v>2613.6302582728399</v>
      </c>
      <c r="E31" s="5">
        <f t="shared" si="2"/>
        <v>3.4234026282995232E-2</v>
      </c>
      <c r="F31" s="10">
        <v>0.32682291666666669</v>
      </c>
      <c r="G31" s="18">
        <f t="shared" si="3"/>
        <v>69.299999999999955</v>
      </c>
      <c r="H31" s="18">
        <f t="shared" si="0"/>
        <v>86.513385444602591</v>
      </c>
      <c r="I31" s="10">
        <f t="shared" si="1"/>
        <v>0.50898553679857517</v>
      </c>
      <c r="J31" s="20"/>
    </row>
    <row r="32" spans="1:10" x14ac:dyDescent="0.25">
      <c r="A32" t="s">
        <v>24</v>
      </c>
      <c r="B32" s="18">
        <v>1386.1</v>
      </c>
      <c r="C32" s="18">
        <v>2461.9893428063942</v>
      </c>
      <c r="D32" s="21">
        <f>C32*'2016-17 budget'!G$11</f>
        <v>2708.7489374323623</v>
      </c>
      <c r="E32" s="5">
        <f t="shared" si="2"/>
        <v>3.639331877890771E-2</v>
      </c>
      <c r="F32" s="10">
        <v>0.32046406136929545</v>
      </c>
      <c r="G32" s="18">
        <f t="shared" si="3"/>
        <v>55.799999999999955</v>
      </c>
      <c r="H32" s="18">
        <f t="shared" si="0"/>
        <v>95.118679159522344</v>
      </c>
      <c r="I32" s="10">
        <f t="shared" si="1"/>
        <v>0.51171224503142454</v>
      </c>
      <c r="J32" s="20"/>
    </row>
    <row r="33" spans="1:10" x14ac:dyDescent="0.25">
      <c r="A33" t="s">
        <v>25</v>
      </c>
      <c r="B33" s="18">
        <v>1410.8</v>
      </c>
      <c r="C33" s="18">
        <v>2479.4376098418275</v>
      </c>
      <c r="D33" s="21">
        <f>C33*'2016-17 budget'!G$11</f>
        <v>2727.9460046050376</v>
      </c>
      <c r="E33" s="5">
        <f t="shared" si="2"/>
        <v>7.0870603426511592E-3</v>
      </c>
      <c r="F33" s="10">
        <v>0.30903355822307893</v>
      </c>
      <c r="G33" s="18">
        <f t="shared" si="3"/>
        <v>24.700000000000045</v>
      </c>
      <c r="H33" s="18">
        <f t="shared" si="0"/>
        <v>19.197067172675361</v>
      </c>
      <c r="I33" s="10">
        <f t="shared" si="1"/>
        <v>0.51716566149712373</v>
      </c>
      <c r="J33" s="20"/>
    </row>
    <row r="34" spans="1:10" x14ac:dyDescent="0.25">
      <c r="A34" t="s">
        <v>26</v>
      </c>
      <c r="B34" s="18">
        <v>1483.7</v>
      </c>
      <c r="C34" s="18">
        <v>2549.3127147766322</v>
      </c>
      <c r="D34" s="21">
        <f>C34*'2016-17 budget'!G$11</f>
        <v>2804.8245324500754</v>
      </c>
      <c r="E34" s="5">
        <f t="shared" si="2"/>
        <v>2.8181836339597387E-2</v>
      </c>
      <c r="F34" s="10">
        <v>0.30984909553384593</v>
      </c>
      <c r="G34" s="18">
        <f t="shared" si="3"/>
        <v>72.900000000000091</v>
      </c>
      <c r="H34" s="18">
        <f t="shared" si="0"/>
        <v>76.878527845037752</v>
      </c>
      <c r="I34" s="10">
        <f t="shared" si="1"/>
        <v>0.5289813971728049</v>
      </c>
      <c r="J34" s="20"/>
    </row>
    <row r="35" spans="1:10" x14ac:dyDescent="0.25">
      <c r="A35" t="s">
        <v>27</v>
      </c>
      <c r="B35" s="18">
        <v>1556.5</v>
      </c>
      <c r="C35" s="18">
        <v>2598.4974958263774</v>
      </c>
      <c r="D35" s="21">
        <f>C35*'2016-17 budget'!G$11</f>
        <v>2858.9389922854189</v>
      </c>
      <c r="E35" s="5">
        <f t="shared" si="2"/>
        <v>1.9293349444599067E-2</v>
      </c>
      <c r="F35" s="10">
        <v>0.30484461052747031</v>
      </c>
      <c r="G35" s="18">
        <f t="shared" si="3"/>
        <v>72.799999999999955</v>
      </c>
      <c r="H35" s="18">
        <f t="shared" si="0"/>
        <v>54.114459835343496</v>
      </c>
      <c r="I35" s="10">
        <f t="shared" si="1"/>
        <v>0.54443274382561868</v>
      </c>
      <c r="J35" s="20"/>
    </row>
    <row r="36" spans="1:10" x14ac:dyDescent="0.25">
      <c r="A36" t="s">
        <v>28</v>
      </c>
      <c r="B36" s="18">
        <v>1432</v>
      </c>
      <c r="C36" s="18">
        <v>2355.2631578947371</v>
      </c>
      <c r="D36" s="21">
        <f>C36*'2016-17 budget'!G$11</f>
        <v>2591.3258296433878</v>
      </c>
      <c r="E36" s="5">
        <f t="shared" si="2"/>
        <v>-9.3605761915228097E-2</v>
      </c>
      <c r="F36" s="10">
        <v>0.2660641824100361</v>
      </c>
      <c r="G36" s="18">
        <f t="shared" si="3"/>
        <v>-124.5</v>
      </c>
      <c r="H36" s="18">
        <f t="shared" si="0"/>
        <v>-267.61316264203106</v>
      </c>
      <c r="I36" s="10">
        <f t="shared" si="1"/>
        <v>0.55261286852416724</v>
      </c>
      <c r="J36" s="20"/>
    </row>
    <row r="37" spans="1:10" x14ac:dyDescent="0.25">
      <c r="A37" t="s">
        <v>29</v>
      </c>
      <c r="B37" s="18">
        <v>1443</v>
      </c>
      <c r="C37" s="18">
        <v>2342.5324675324673</v>
      </c>
      <c r="D37" s="21">
        <f>C37*'2016-17 budget'!G$11</f>
        <v>2577.319171128664</v>
      </c>
      <c r="E37" s="5">
        <f t="shared" si="2"/>
        <v>-5.4052093158239896E-3</v>
      </c>
      <c r="F37" s="10">
        <v>0.25295686060025979</v>
      </c>
      <c r="G37" s="18">
        <f t="shared" si="3"/>
        <v>11</v>
      </c>
      <c r="H37" s="18">
        <f t="shared" si="0"/>
        <v>-14.006658514723767</v>
      </c>
      <c r="I37" s="10">
        <f t="shared" si="1"/>
        <v>0.55988409047843268</v>
      </c>
      <c r="J37" s="20"/>
    </row>
    <row r="38" spans="1:10" x14ac:dyDescent="0.25">
      <c r="A38" t="s">
        <v>30</v>
      </c>
      <c r="B38" s="18">
        <v>1528.6</v>
      </c>
      <c r="C38" s="18">
        <v>2469.4668820678512</v>
      </c>
      <c r="D38" s="21">
        <f>C38*'2016-17 budget'!G$11</f>
        <v>2716.9759334542018</v>
      </c>
      <c r="E38" s="5">
        <f t="shared" si="2"/>
        <v>5.4186832539013415E-2</v>
      </c>
      <c r="F38" s="10">
        <v>0.25427337631661245</v>
      </c>
      <c r="G38" s="18">
        <f t="shared" si="3"/>
        <v>85.599999999999909</v>
      </c>
      <c r="H38" s="18">
        <f t="shared" si="0"/>
        <v>139.65676232553778</v>
      </c>
      <c r="I38" s="10">
        <f t="shared" si="1"/>
        <v>0.56261079871128217</v>
      </c>
      <c r="J38" s="20"/>
    </row>
    <row r="39" spans="1:10" x14ac:dyDescent="0.25">
      <c r="A39" t="s">
        <v>76</v>
      </c>
      <c r="B39" s="18">
        <v>1748.7</v>
      </c>
      <c r="C39" s="18">
        <v>2753.8582677165355</v>
      </c>
      <c r="D39" s="21">
        <f>C39*'2016-17 budget'!G$11</f>
        <v>3029.8712211375691</v>
      </c>
      <c r="E39" s="5">
        <f t="shared" si="2"/>
        <v>0.11516306928989645</v>
      </c>
      <c r="F39" s="10">
        <v>0.27236451084349361</v>
      </c>
      <c r="G39" s="18">
        <f t="shared" si="3"/>
        <v>220.10000000000014</v>
      </c>
      <c r="H39" s="18">
        <f t="shared" si="0"/>
        <v>312.89528768336731</v>
      </c>
      <c r="I39" s="10">
        <f t="shared" si="1"/>
        <v>0.57715324261981282</v>
      </c>
      <c r="J39" s="20"/>
    </row>
    <row r="40" spans="1:10" x14ac:dyDescent="0.25">
      <c r="A40" t="s">
        <v>32</v>
      </c>
      <c r="B40" s="18">
        <v>1623.1</v>
      </c>
      <c r="C40" s="18">
        <v>2448.1146304675713</v>
      </c>
      <c r="D40" s="21">
        <f>C40*'2016-17 budget'!G$11</f>
        <v>2693.483594219249</v>
      </c>
      <c r="E40" s="5">
        <f t="shared" si="2"/>
        <v>-0.1110237374352904</v>
      </c>
      <c r="F40" s="10">
        <v>0.23668250771759086</v>
      </c>
      <c r="G40" s="18">
        <f t="shared" si="3"/>
        <v>-125.60000000000014</v>
      </c>
      <c r="H40" s="18">
        <f t="shared" si="0"/>
        <v>-336.38762691832017</v>
      </c>
      <c r="I40" s="10">
        <f t="shared" si="1"/>
        <v>0.60260251945974164</v>
      </c>
      <c r="J40" s="20"/>
    </row>
    <row r="41" spans="1:10" x14ac:dyDescent="0.25">
      <c r="A41" t="s">
        <v>33</v>
      </c>
      <c r="B41" s="18">
        <v>1755.1</v>
      </c>
      <c r="C41" s="18">
        <v>2584.8306332842412</v>
      </c>
      <c r="D41" s="21">
        <f>C41*'2016-17 budget'!G$11</f>
        <v>2843.902331181579</v>
      </c>
      <c r="E41" s="5">
        <f t="shared" si="2"/>
        <v>5.5845425338828331E-2</v>
      </c>
      <c r="F41" s="10">
        <v>0.23932474722337749</v>
      </c>
      <c r="G41" s="18">
        <f t="shared" si="3"/>
        <v>132</v>
      </c>
      <c r="H41" s="18">
        <f t="shared" si="0"/>
        <v>150.41873696233006</v>
      </c>
      <c r="I41" s="10">
        <f t="shared" si="1"/>
        <v>0.61714496336827229</v>
      </c>
      <c r="J41" s="20"/>
    </row>
    <row r="42" spans="1:10" x14ac:dyDescent="0.25">
      <c r="A42" t="s">
        <v>34</v>
      </c>
      <c r="B42" s="18">
        <v>1830.8</v>
      </c>
      <c r="C42" s="18">
        <v>2615.4285714285716</v>
      </c>
      <c r="D42" s="21">
        <f>C42*'2016-17 budget'!G$11</f>
        <v>2877.5670311033095</v>
      </c>
      <c r="E42" s="5">
        <f t="shared" si="2"/>
        <v>1.183750213663054E-2</v>
      </c>
      <c r="F42" s="2">
        <v>0.23511523317605904</v>
      </c>
      <c r="G42" s="18">
        <f t="shared" si="3"/>
        <v>75.700000000000045</v>
      </c>
      <c r="H42" s="18">
        <f t="shared" si="0"/>
        <v>33.664699921730517</v>
      </c>
      <c r="I42" s="10">
        <f t="shared" si="1"/>
        <v>0.63623192099821879</v>
      </c>
      <c r="J42" s="20"/>
    </row>
    <row r="43" spans="1:10" x14ac:dyDescent="0.25">
      <c r="A43" t="s">
        <v>35</v>
      </c>
      <c r="B43" s="18">
        <v>1973.1</v>
      </c>
      <c r="C43" s="18">
        <v>2721.5172413793102</v>
      </c>
      <c r="D43" s="21">
        <f>C43*'2016-17 budget'!G$11</f>
        <v>2994.2887272561893</v>
      </c>
      <c r="E43" s="5">
        <f t="shared" si="2"/>
        <v>4.0562633256236123E-2</v>
      </c>
      <c r="F43" s="10">
        <v>0.23562300796396451</v>
      </c>
      <c r="G43" s="18">
        <f t="shared" si="3"/>
        <v>142.29999999999995</v>
      </c>
      <c r="H43" s="18">
        <f t="shared" si="0"/>
        <v>116.72169615287976</v>
      </c>
      <c r="I43" s="10">
        <f t="shared" si="1"/>
        <v>0.65895448960529812</v>
      </c>
      <c r="J43" s="20"/>
    </row>
    <row r="44" spans="1:10" x14ac:dyDescent="0.25">
      <c r="A44" t="s">
        <v>36</v>
      </c>
      <c r="B44" s="18">
        <v>2198.1</v>
      </c>
      <c r="C44" s="18">
        <v>2915.2519893899198</v>
      </c>
      <c r="D44" s="21">
        <f>C44*'2016-17 budget'!G$11</f>
        <v>3207.4410686141237</v>
      </c>
      <c r="E44" s="5">
        <f t="shared" si="2"/>
        <v>7.1186301914597294E-2</v>
      </c>
      <c r="F44" s="10">
        <v>0.24741620536186631</v>
      </c>
      <c r="G44" s="18">
        <f t="shared" si="3"/>
        <v>225</v>
      </c>
      <c r="H44" s="18">
        <f t="shared" si="0"/>
        <v>213.15234135793435</v>
      </c>
      <c r="I44" s="10">
        <f t="shared" si="1"/>
        <v>0.68531266918951017</v>
      </c>
      <c r="J44" s="20"/>
    </row>
    <row r="45" spans="1:10" x14ac:dyDescent="0.25">
      <c r="A45" t="s">
        <v>41</v>
      </c>
      <c r="B45" s="18">
        <v>2683.5008565621001</v>
      </c>
      <c r="C45" s="18">
        <v>3383.9859477453974</v>
      </c>
      <c r="D45" s="21">
        <f>C45*'2016-17 budget'!G$11</f>
        <v>3723.1551659735251</v>
      </c>
      <c r="E45" s="5">
        <f t="shared" si="2"/>
        <v>0.16078677248534204</v>
      </c>
      <c r="F45" s="10">
        <v>0.27967758729690945</v>
      </c>
      <c r="G45" s="18">
        <f t="shared" si="3"/>
        <v>485.40085656210022</v>
      </c>
      <c r="H45" s="18">
        <f t="shared" si="0"/>
        <v>515.71409735940142</v>
      </c>
      <c r="I45" s="10">
        <f t="shared" si="1"/>
        <v>0.72075987621655369</v>
      </c>
      <c r="J45" s="20"/>
    </row>
    <row r="46" spans="1:10" x14ac:dyDescent="0.25">
      <c r="A46" t="s">
        <v>37</v>
      </c>
      <c r="B46" s="18">
        <v>2977.9141820124996</v>
      </c>
      <c r="C46" s="18">
        <v>3579.223776457331</v>
      </c>
      <c r="D46" s="21">
        <f>C46*'2016-17 budget'!G$11</f>
        <v>3937.9612383943022</v>
      </c>
      <c r="E46" s="5">
        <f t="shared" si="2"/>
        <v>5.7694633407686609E-2</v>
      </c>
      <c r="F46" s="10">
        <v>0.28659473509072553</v>
      </c>
      <c r="G46" s="18">
        <f t="shared" si="3"/>
        <v>294.4133254503995</v>
      </c>
      <c r="H46" s="18">
        <f t="shared" si="0"/>
        <v>214.80607242077713</v>
      </c>
      <c r="I46" s="10">
        <f t="shared" si="1"/>
        <v>0.75620708324359731</v>
      </c>
      <c r="J46" s="20"/>
    </row>
    <row r="47" spans="1:10" x14ac:dyDescent="0.25">
      <c r="A47" t="s">
        <v>38</v>
      </c>
      <c r="B47" s="18">
        <v>3115.0166879971998</v>
      </c>
      <c r="C47" s="18">
        <v>3580.4789517209192</v>
      </c>
      <c r="D47" s="21">
        <f>C47*'2016-17 budget'!G$11</f>
        <v>3939.3422170209847</v>
      </c>
      <c r="E47" s="5">
        <f t="shared" si="2"/>
        <v>3.5068365153476095E-4</v>
      </c>
      <c r="F47" s="10">
        <v>0.27546383687651327</v>
      </c>
      <c r="G47" s="18">
        <f t="shared" si="3"/>
        <v>137.1025059847002</v>
      </c>
      <c r="H47" s="18">
        <f t="shared" si="0"/>
        <v>1.3809786266824631</v>
      </c>
      <c r="I47" s="10">
        <f t="shared" si="1"/>
        <v>0.7907453875263577</v>
      </c>
      <c r="J47" s="20"/>
    </row>
    <row r="48" spans="1:10" x14ac:dyDescent="0.25">
      <c r="A48" t="s">
        <v>39</v>
      </c>
      <c r="B48" s="18">
        <v>3737.3768989748</v>
      </c>
      <c r="C48" s="18">
        <v>4080.1057849069875</v>
      </c>
      <c r="D48" s="21">
        <f>C48*'2016-17 budget'!G$11</f>
        <v>4489.0455118219179</v>
      </c>
      <c r="E48" s="5">
        <f t="shared" si="2"/>
        <v>0.13954189926069197</v>
      </c>
      <c r="F48" s="10">
        <v>0.30767596755237459</v>
      </c>
      <c r="G48" s="18">
        <f t="shared" si="3"/>
        <v>622.36021097760022</v>
      </c>
      <c r="H48" s="18">
        <f t="shared" si="0"/>
        <v>549.70329480093324</v>
      </c>
      <c r="I48" s="10">
        <f t="shared" si="1"/>
        <v>0.83255491376338342</v>
      </c>
      <c r="J48" s="20"/>
    </row>
    <row r="49" spans="1:13" x14ac:dyDescent="0.25">
      <c r="A49" t="s">
        <v>1</v>
      </c>
      <c r="B49" s="18">
        <v>3877.7029709799999</v>
      </c>
      <c r="C49" s="18">
        <v>4192.1113199783786</v>
      </c>
      <c r="D49" s="21">
        <f>C49*'2016-17 budget'!G$11</f>
        <v>4612.2771070348108</v>
      </c>
      <c r="E49" s="5">
        <f t="shared" si="2"/>
        <v>2.7451625270530682E-2</v>
      </c>
      <c r="F49" s="10">
        <v>0.31122385603469793</v>
      </c>
      <c r="G49" s="18">
        <f t="shared" si="3"/>
        <v>140.32607200519988</v>
      </c>
      <c r="H49" s="18">
        <f t="shared" si="0"/>
        <v>123.2315952128929</v>
      </c>
      <c r="I49" s="10">
        <f t="shared" si="1"/>
        <v>0.84073503846193198</v>
      </c>
      <c r="J49" s="20"/>
    </row>
    <row r="50" spans="1:13" x14ac:dyDescent="0.25">
      <c r="A50" t="s">
        <v>2</v>
      </c>
      <c r="B50" s="18">
        <v>4303.1378796107001</v>
      </c>
      <c r="C50" s="18">
        <v>4386.4810189711525</v>
      </c>
      <c r="D50" s="21">
        <f>C50*'2016-17 budget'!G$11</f>
        <v>4826.1280390683241</v>
      </c>
      <c r="E50" s="5">
        <f t="shared" si="2"/>
        <v>4.6365586253987262E-2</v>
      </c>
      <c r="F50" s="10">
        <v>0.31809802838844864</v>
      </c>
      <c r="G50" s="18">
        <f t="shared" si="3"/>
        <v>425.43490863070019</v>
      </c>
      <c r="H50" s="18">
        <f t="shared" si="0"/>
        <v>213.85093203351335</v>
      </c>
      <c r="I50" s="10">
        <f t="shared" si="1"/>
        <v>0.89163359214178939</v>
      </c>
      <c r="J50" s="20"/>
    </row>
    <row r="51" spans="1:13" x14ac:dyDescent="0.25">
      <c r="A51" t="s">
        <v>3</v>
      </c>
      <c r="B51" s="18">
        <v>4825.1585243998998</v>
      </c>
      <c r="C51" s="18">
        <v>4825.1585243998998</v>
      </c>
      <c r="D51" s="21">
        <f>C51*'2016-17 budget'!G$11</f>
        <v>5308.7731935559159</v>
      </c>
      <c r="E51" s="5">
        <f t="shared" si="2"/>
        <v>0.10000670321642888</v>
      </c>
      <c r="F51" s="10">
        <v>0.33423789505620555</v>
      </c>
      <c r="G51" s="18">
        <f t="shared" si="3"/>
        <v>522.02064478919965</v>
      </c>
      <c r="H51" s="18">
        <f t="shared" si="0"/>
        <v>482.64515448759175</v>
      </c>
      <c r="I51" s="10">
        <f t="shared" si="1"/>
        <v>0.90890274428316986</v>
      </c>
      <c r="J51" s="20"/>
    </row>
    <row r="52" spans="1:13" x14ac:dyDescent="0.25">
      <c r="A52" t="s">
        <v>5</v>
      </c>
      <c r="B52" s="22">
        <f>'2016-17 budget'!B3</f>
        <v>5053.4743107269996</v>
      </c>
      <c r="C52" s="22">
        <f>'2016-17 budget'!B3/'2016-17 budget'!H3</f>
        <v>4944.6911063864964</v>
      </c>
      <c r="D52" s="22">
        <f>'2016-17 budget'!J3</f>
        <v>5440.28625448398</v>
      </c>
      <c r="E52" s="5">
        <f t="shared" si="2"/>
        <v>2.4772778216952639E-2</v>
      </c>
      <c r="F52" s="26">
        <f>'2016-17 budget'!Z3*100</f>
        <v>0.3401260839181835</v>
      </c>
      <c r="G52" s="18">
        <f t="shared" si="3"/>
        <v>228.31578632709989</v>
      </c>
      <c r="H52" s="18">
        <f t="shared" si="0"/>
        <v>131.51306092806408</v>
      </c>
      <c r="I52" s="10">
        <f t="shared" si="1"/>
        <v>0.9288986046573996</v>
      </c>
      <c r="K52" s="5"/>
      <c r="L52" s="5"/>
      <c r="M52" s="8"/>
    </row>
    <row r="53" spans="1:13" x14ac:dyDescent="0.25">
      <c r="A53" t="s">
        <v>4</v>
      </c>
      <c r="B53" s="22">
        <f>'2016-17 budget'!B4</f>
        <v>5032</v>
      </c>
      <c r="C53" s="22">
        <f>'2016-17 budget'!B4/'2016-17 budget'!H4</f>
        <v>4794.2347231405674</v>
      </c>
      <c r="D53" s="22">
        <f>'2016-17 budget'!J4</f>
        <v>5274.7499699999998</v>
      </c>
      <c r="E53" s="5">
        <f t="shared" si="2"/>
        <v>-3.0427862935988377E-2</v>
      </c>
      <c r="F53" s="26">
        <f>'2016-17 budget'!Z4*100</f>
        <v>0.32631716835553526</v>
      </c>
      <c r="G53" s="18">
        <f t="shared" si="3"/>
        <v>-21.474310726999647</v>
      </c>
      <c r="H53" s="18">
        <f t="shared" si="0"/>
        <v>-165.53628448398013</v>
      </c>
      <c r="I53" s="10">
        <f t="shared" si="1"/>
        <v>0.95397886698314915</v>
      </c>
      <c r="K53" s="5"/>
      <c r="L53" s="5"/>
      <c r="M53" s="8"/>
    </row>
    <row r="54" spans="1:13" x14ac:dyDescent="0.25">
      <c r="A54" t="s">
        <v>45</v>
      </c>
      <c r="B54" s="22">
        <f>'2016-17 budget'!B5</f>
        <v>5032</v>
      </c>
      <c r="C54" s="22">
        <f>'2016-17 budget'!B5/'2016-17 budget'!H5</f>
        <v>4723.3839636852881</v>
      </c>
      <c r="D54" s="22">
        <f>'2016-17 budget'!J5</f>
        <v>5196.7979999999998</v>
      </c>
      <c r="E54" s="5">
        <f t="shared" si="2"/>
        <v>-1.4778325123152724E-2</v>
      </c>
      <c r="F54" s="26">
        <f>'2016-17 budget'!Z5*100</f>
        <v>0.31893094752026752</v>
      </c>
      <c r="G54" s="18">
        <f t="shared" si="3"/>
        <v>0</v>
      </c>
      <c r="H54" s="18">
        <f t="shared" si="0"/>
        <v>-77.951970000000074</v>
      </c>
      <c r="I54" s="10">
        <f t="shared" si="1"/>
        <v>0.96828854998789649</v>
      </c>
      <c r="K54" s="5"/>
      <c r="L54" s="5"/>
      <c r="M54" s="8"/>
    </row>
    <row r="55" spans="1:13" x14ac:dyDescent="0.25">
      <c r="A55" t="s">
        <v>44</v>
      </c>
      <c r="B55" s="22">
        <f>'2016-17 budget'!B6</f>
        <v>4052</v>
      </c>
      <c r="C55" s="22">
        <f>'2016-17 budget'!B6/'2016-17 budget'!H6</f>
        <v>3756.5313982321122</v>
      </c>
      <c r="D55" s="22">
        <f>'2016-17 budget'!J6</f>
        <v>4133.04</v>
      </c>
      <c r="E55" s="5">
        <f t="shared" si="2"/>
        <v>-0.20469489096940074</v>
      </c>
      <c r="F55" s="26">
        <f>'2016-17 budget'!Z6*100</f>
        <v>0.25055415086899918</v>
      </c>
      <c r="G55" s="18">
        <f t="shared" si="3"/>
        <v>-980</v>
      </c>
      <c r="H55" s="18">
        <f t="shared" si="0"/>
        <v>-1063.7579999999998</v>
      </c>
      <c r="I55" s="10">
        <f t="shared" si="1"/>
        <v>0.98039215686274506</v>
      </c>
      <c r="K55" s="5"/>
      <c r="L55" s="5"/>
      <c r="M55" s="8"/>
    </row>
    <row r="56" spans="1:13" x14ac:dyDescent="0.25">
      <c r="A56" t="s">
        <v>43</v>
      </c>
      <c r="B56" s="22">
        <f>'2016-17 budget'!B7</f>
        <v>3828</v>
      </c>
      <c r="C56" s="22">
        <f>'2016-17 budget'!B7/'2016-17 budget'!H7</f>
        <v>3479.2797051159741</v>
      </c>
      <c r="D56" s="22">
        <f>'2016-17 budget'!J7</f>
        <v>3828</v>
      </c>
      <c r="E56" s="5">
        <f t="shared" si="2"/>
        <v>-7.3805237791069039E-2</v>
      </c>
      <c r="F56" s="26">
        <f>'2016-17 budget'!Z7*100</f>
        <v>0.22705341105828761</v>
      </c>
      <c r="G56" s="18">
        <f t="shared" si="3"/>
        <v>-224</v>
      </c>
      <c r="H56" s="18">
        <f t="shared" si="0"/>
        <v>-305.03999999999996</v>
      </c>
      <c r="I56" s="10">
        <f t="shared" si="1"/>
        <v>1</v>
      </c>
      <c r="K56" s="5"/>
      <c r="L56" s="5"/>
      <c r="M56" s="8"/>
    </row>
    <row r="57" spans="1:13" x14ac:dyDescent="0.25">
      <c r="A57" t="s">
        <v>42</v>
      </c>
      <c r="B57" s="22">
        <f>'2016-17 budget'!B8</f>
        <v>3912</v>
      </c>
      <c r="C57" s="22">
        <f>'2016-17 budget'!B8/'2016-17 budget'!H8</f>
        <v>3477.3863429200587</v>
      </c>
      <c r="D57" s="22">
        <f>'2016-17 budget'!J8</f>
        <v>3825.9168704156482</v>
      </c>
      <c r="E57" s="5">
        <f t="shared" si="2"/>
        <v>-5.4418223206682576E-4</v>
      </c>
      <c r="F57" s="26">
        <f>'2016-17 budget'!Z8*100</f>
        <v>0.22098645172414316</v>
      </c>
      <c r="G57" s="18">
        <f t="shared" si="3"/>
        <v>84</v>
      </c>
      <c r="H57" s="18">
        <f t="shared" si="0"/>
        <v>-2.0831295843518092</v>
      </c>
      <c r="I57" s="10">
        <f t="shared" si="1"/>
        <v>1.0225</v>
      </c>
      <c r="K57" s="5"/>
      <c r="L57" s="5"/>
      <c r="M57" s="8"/>
    </row>
    <row r="58" spans="1:13" x14ac:dyDescent="0.25">
      <c r="A58" t="s">
        <v>86</v>
      </c>
      <c r="B58" s="22">
        <f>'2016-17 budget'!B9</f>
        <v>4010</v>
      </c>
      <c r="C58" s="22">
        <f>'2016-17 budget'!B9/'2016-17 budget'!H9</f>
        <v>3477.5597872984781</v>
      </c>
      <c r="D58" s="22">
        <f>'2016-17 budget'!J9</f>
        <v>3826.1076987297993</v>
      </c>
      <c r="E58" s="5">
        <f>(D58-D57)/D57</f>
        <v>4.9877799391481514E-5</v>
      </c>
      <c r="F58" s="26">
        <f>'2016-17 budget'!Z9*100</f>
        <v>0.2157356294220017</v>
      </c>
      <c r="G58" s="18">
        <f>B58-B57</f>
        <v>98</v>
      </c>
      <c r="H58" s="18">
        <f>D58-D57</f>
        <v>0.19082831415107648</v>
      </c>
      <c r="I58" s="10">
        <f t="shared" si="1"/>
        <v>1.0480624999999999</v>
      </c>
      <c r="K58" s="5"/>
      <c r="L58" s="5"/>
      <c r="M58" s="8"/>
    </row>
    <row r="59" spans="1:13" x14ac:dyDescent="0.25">
      <c r="A59" t="s">
        <v>141</v>
      </c>
      <c r="B59" s="22">
        <f>'2016-17 budget'!B10</f>
        <v>4110</v>
      </c>
      <c r="C59" s="22">
        <f>'2016-17 budget'!B10/'2016-17 budget'!H10</f>
        <v>3477.348269763821</v>
      </c>
      <c r="D59" s="22">
        <f>'2016-17 budget'!J10</f>
        <v>3825.8749812735173</v>
      </c>
      <c r="E59" s="5">
        <f>(D59-D58)/D58</f>
        <v>-6.0823550878938213E-5</v>
      </c>
      <c r="F59" s="26">
        <f>'2016-17 budget'!Z10*100</f>
        <v>0.21058625743366036</v>
      </c>
      <c r="G59" s="18">
        <f>B59-B58</f>
        <v>100</v>
      </c>
      <c r="H59" s="18">
        <f>D59-D58</f>
        <v>-0.23271745628198914</v>
      </c>
      <c r="I59" s="10">
        <f t="shared" si="1"/>
        <v>1.0742640624999999</v>
      </c>
    </row>
    <row r="60" spans="1:13" x14ac:dyDescent="0.25">
      <c r="B60" s="6"/>
    </row>
    <row r="61" spans="1:13" x14ac:dyDescent="0.25">
      <c r="B61" s="6"/>
    </row>
    <row r="62" spans="1:13" x14ac:dyDescent="0.25">
      <c r="B62" s="6"/>
    </row>
    <row r="63" spans="1:13" x14ac:dyDescent="0.25">
      <c r="B63" s="6"/>
    </row>
    <row r="64" spans="1:13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</sheetData>
  <mergeCells count="3">
    <mergeCell ref="C7:D7"/>
    <mergeCell ref="C8:D8"/>
    <mergeCell ref="C9:D9"/>
  </mergeCells>
  <hyperlinks>
    <hyperlink ref="Q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27"/>
  <sheetViews>
    <sheetView zoomScale="80" zoomScaleNormal="80" workbookViewId="0">
      <selection activeCell="H34" sqref="H34"/>
    </sheetView>
  </sheetViews>
  <sheetFormatPr defaultRowHeight="15" x14ac:dyDescent="0.25"/>
  <cols>
    <col min="1" max="1" width="29.140625" bestFit="1" customWidth="1"/>
    <col min="2" max="2" width="16.7109375" bestFit="1" customWidth="1"/>
    <col min="3" max="3" width="19.5703125" bestFit="1" customWidth="1"/>
    <col min="4" max="4" width="25.7109375" customWidth="1"/>
    <col min="5" max="5" width="12.85546875" customWidth="1"/>
    <col min="6" max="6" width="19.7109375" customWidth="1"/>
    <col min="7" max="7" width="14.28515625" bestFit="1" customWidth="1"/>
    <col min="8" max="8" width="15" customWidth="1"/>
  </cols>
  <sheetData>
    <row r="1" spans="1:8" s="15" customFormat="1" ht="45" x14ac:dyDescent="0.25">
      <c r="C1" s="15" t="s">
        <v>103</v>
      </c>
      <c r="D1" s="15" t="s">
        <v>104</v>
      </c>
      <c r="E1" s="15" t="s">
        <v>105</v>
      </c>
      <c r="F1" s="15" t="s">
        <v>57</v>
      </c>
      <c r="G1" s="15" t="s">
        <v>58</v>
      </c>
      <c r="H1" s="15" t="s">
        <v>73</v>
      </c>
    </row>
    <row r="2" spans="1:8" x14ac:dyDescent="0.25">
      <c r="A2" t="s">
        <v>70</v>
      </c>
      <c r="B2" t="s">
        <v>16</v>
      </c>
      <c r="C2">
        <f>'ODA-GNI time series'!B24</f>
        <v>1011.4</v>
      </c>
      <c r="D2" s="6">
        <f>'ODA-GNI time series'!D24</f>
        <v>2967.3875270271956</v>
      </c>
      <c r="G2" s="1">
        <f>'ODA-GNI time series'!F24/100</f>
        <v>4.3546400985111384E-3</v>
      </c>
    </row>
    <row r="3" spans="1:8" x14ac:dyDescent="0.25">
      <c r="B3" t="s">
        <v>17</v>
      </c>
      <c r="C3">
        <f>'ODA-GNI time series'!B25</f>
        <v>1031</v>
      </c>
      <c r="D3" s="6">
        <f>'ODA-GNI time series'!D25</f>
        <v>2842.9443260040784</v>
      </c>
      <c r="E3" s="6">
        <f>D3-D2</f>
        <v>-124.44320102311713</v>
      </c>
      <c r="F3" s="3">
        <f>E3/D2</f>
        <v>-4.1936956292253309E-2</v>
      </c>
      <c r="G3" s="1">
        <f>'ODA-GNI time series'!F25/100</f>
        <v>4.0233047292366651E-3</v>
      </c>
      <c r="H3" s="1">
        <f>G3-G2</f>
        <v>-3.3133536927447329E-4</v>
      </c>
    </row>
    <row r="4" spans="1:8" x14ac:dyDescent="0.25">
      <c r="B4" t="s">
        <v>18</v>
      </c>
      <c r="C4">
        <f>'ODA-GNI time series'!B26</f>
        <v>975.6</v>
      </c>
      <c r="D4" s="6">
        <f>'ODA-GNI time series'!D26</f>
        <v>2496.2376047084163</v>
      </c>
      <c r="E4" s="6">
        <f>D4-D3</f>
        <v>-346.70672129566219</v>
      </c>
      <c r="F4" s="3">
        <f>E4/D3</f>
        <v>-0.12195339814585057</v>
      </c>
      <c r="G4" s="1">
        <f>'ODA-GNI time series'!F26/100</f>
        <v>3.469170044804779E-3</v>
      </c>
      <c r="H4" s="1">
        <f>G4-G3</f>
        <v>-5.5413468443188613E-4</v>
      </c>
    </row>
    <row r="5" spans="1:8" x14ac:dyDescent="0.25">
      <c r="B5" t="s">
        <v>19</v>
      </c>
      <c r="C5">
        <f>'ODA-GNI time series'!B27</f>
        <v>1019.6</v>
      </c>
      <c r="D5" s="6">
        <f>'ODA-GNI time series'!D27</f>
        <v>2449.3279257487529</v>
      </c>
      <c r="E5" s="6">
        <f>D5-D4</f>
        <v>-46.909678959663324</v>
      </c>
      <c r="F5" s="3">
        <f>E5/D4</f>
        <v>-1.8792152987032181E-2</v>
      </c>
      <c r="G5" s="1">
        <f>'ODA-GNI time series'!F27/100</f>
        <v>3.1995882836574974E-3</v>
      </c>
      <c r="H5" s="1">
        <f>G5-G4</f>
        <v>-2.6958176114728156E-4</v>
      </c>
    </row>
    <row r="6" spans="1:8" x14ac:dyDescent="0.25">
      <c r="B6" t="s">
        <v>20</v>
      </c>
      <c r="C6">
        <f>'ODA-GNI time series'!B28</f>
        <v>1194.5999999999999</v>
      </c>
      <c r="D6" s="6">
        <f>'ODA-GNI time series'!D28</f>
        <v>2639.2209681518398</v>
      </c>
      <c r="E6" s="6">
        <f>D6-D5</f>
        <v>189.89304240308684</v>
      </c>
      <c r="F6" s="3">
        <f>E6/D5</f>
        <v>7.7528631591883335E-2</v>
      </c>
      <c r="G6" s="1">
        <f>'ODA-GNI time series'!F28/100</f>
        <v>3.3333054302240894E-3</v>
      </c>
      <c r="H6" s="1">
        <f>G6-G5</f>
        <v>1.3371714656659197E-4</v>
      </c>
    </row>
    <row r="7" spans="1:8" x14ac:dyDescent="0.25">
      <c r="B7" t="s">
        <v>21</v>
      </c>
      <c r="C7">
        <f>'ODA-GNI time series'!B29</f>
        <v>1173.8</v>
      </c>
      <c r="D7" s="6">
        <f>'ODA-GNI time series'!D29</f>
        <v>2450.5641469209186</v>
      </c>
      <c r="E7" s="6">
        <f>D7-D6</f>
        <v>-188.6568212309212</v>
      </c>
      <c r="F7" s="3">
        <f>E7/D6</f>
        <v>-7.1482010603693941E-2</v>
      </c>
      <c r="G7" s="1">
        <f>'ODA-GNI time series'!F29/100</f>
        <v>3.004343474933517E-3</v>
      </c>
      <c r="H7" s="1">
        <f>G7-G6</f>
        <v>-3.2896195529057235E-4</v>
      </c>
    </row>
    <row r="8" spans="1:8" x14ac:dyDescent="0.25">
      <c r="D8" s="6"/>
      <c r="E8" s="6"/>
    </row>
    <row r="9" spans="1:8" x14ac:dyDescent="0.25">
      <c r="A9" t="s">
        <v>71</v>
      </c>
      <c r="B9" t="s">
        <v>27</v>
      </c>
      <c r="C9">
        <f>'ODA-GNI time series'!B35</f>
        <v>1556.5</v>
      </c>
      <c r="D9" s="6">
        <f>'ODA-GNI time series'!D35</f>
        <v>2858.9389922854189</v>
      </c>
      <c r="E9" s="6"/>
      <c r="G9" s="3">
        <f>'ODA-GNI time series'!F35/100</f>
        <v>3.0484461052747032E-3</v>
      </c>
    </row>
    <row r="10" spans="1:8" x14ac:dyDescent="0.25">
      <c r="B10" t="s">
        <v>28</v>
      </c>
      <c r="C10">
        <f>'ODA-GNI time series'!B36</f>
        <v>1432</v>
      </c>
      <c r="D10" s="6">
        <f>'ODA-GNI time series'!D36</f>
        <v>2591.3258296433878</v>
      </c>
      <c r="E10" s="6">
        <f>D10-D9</f>
        <v>-267.61316264203106</v>
      </c>
      <c r="F10" s="3">
        <f>E10/D9</f>
        <v>-9.3605761915228097E-2</v>
      </c>
      <c r="G10" s="3">
        <f>'ODA-GNI time series'!F36/100</f>
        <v>2.6606418241003609E-3</v>
      </c>
      <c r="H10" s="3">
        <f>G10-G9</f>
        <v>-3.8780428117434233E-4</v>
      </c>
    </row>
    <row r="11" spans="1:8" x14ac:dyDescent="0.25">
      <c r="B11" t="s">
        <v>29</v>
      </c>
      <c r="C11">
        <f>'ODA-GNI time series'!B37</f>
        <v>1443</v>
      </c>
      <c r="D11" s="6">
        <f>'ODA-GNI time series'!D37</f>
        <v>2577.319171128664</v>
      </c>
      <c r="E11" s="6">
        <f>D11-D10</f>
        <v>-14.006658514723767</v>
      </c>
      <c r="F11" s="3">
        <f>E11/D10</f>
        <v>-5.4052093158239896E-3</v>
      </c>
      <c r="G11" s="3">
        <f>'ODA-GNI time series'!F37/100</f>
        <v>2.5295686060025978E-3</v>
      </c>
      <c r="H11" s="3">
        <f>G11-G10</f>
        <v>-1.3107321809776315E-4</v>
      </c>
    </row>
    <row r="12" spans="1:8" x14ac:dyDescent="0.25">
      <c r="B12" t="s">
        <v>30</v>
      </c>
      <c r="C12">
        <f>'ODA-GNI time series'!B38</f>
        <v>1528.6</v>
      </c>
      <c r="D12" s="6">
        <f>'ODA-GNI time series'!D38</f>
        <v>2716.9759334542018</v>
      </c>
      <c r="E12" s="6">
        <f>D12-D11</f>
        <v>139.65676232553778</v>
      </c>
      <c r="F12" s="3">
        <f>E12/D11</f>
        <v>5.4186832539013415E-2</v>
      </c>
      <c r="G12" s="3">
        <f>'ODA-GNI time series'!F38/100</f>
        <v>2.5427337631661246E-3</v>
      </c>
      <c r="H12" s="3">
        <f>G12-G11</f>
        <v>1.3165157163526862E-5</v>
      </c>
    </row>
    <row r="13" spans="1:8" x14ac:dyDescent="0.25">
      <c r="B13" t="s">
        <v>31</v>
      </c>
      <c r="C13">
        <f>'ODA-GNI time series'!B39</f>
        <v>1748.7</v>
      </c>
      <c r="D13" s="6">
        <f>'ODA-GNI time series'!D39</f>
        <v>3029.8712211375691</v>
      </c>
      <c r="E13" s="6">
        <f>D13-D12</f>
        <v>312.89528768336731</v>
      </c>
      <c r="F13" s="3">
        <f>E13/D12</f>
        <v>0.11516306928989645</v>
      </c>
      <c r="G13" s="3">
        <f>'ODA-GNI time series'!F39/100</f>
        <v>2.7236451084349362E-3</v>
      </c>
      <c r="H13" s="3">
        <f>G13-G12</f>
        <v>1.8091134526881155E-4</v>
      </c>
    </row>
    <row r="14" spans="1:8" x14ac:dyDescent="0.25">
      <c r="B14" t="s">
        <v>32</v>
      </c>
      <c r="C14">
        <f>'ODA-GNI time series'!B40</f>
        <v>1623.1</v>
      </c>
      <c r="D14" s="6">
        <f>'ODA-GNI time series'!D40</f>
        <v>2693.483594219249</v>
      </c>
      <c r="E14" s="6">
        <f>D14-D13</f>
        <v>-336.38762691832017</v>
      </c>
      <c r="F14" s="3">
        <f>E14/D13</f>
        <v>-0.1110237374352904</v>
      </c>
      <c r="G14" s="3">
        <f>'ODA-GNI time series'!F40/100</f>
        <v>2.3668250771759088E-3</v>
      </c>
      <c r="H14" s="3">
        <f>G14-G13</f>
        <v>-3.5682003125902736E-4</v>
      </c>
    </row>
    <row r="15" spans="1:8" x14ac:dyDescent="0.25">
      <c r="E15" s="6"/>
    </row>
    <row r="16" spans="1:8" x14ac:dyDescent="0.25">
      <c r="A16" t="s">
        <v>72</v>
      </c>
      <c r="B16" t="s">
        <v>5</v>
      </c>
      <c r="C16">
        <f>'ODA-GNI time series'!B52</f>
        <v>5053.4743107269996</v>
      </c>
      <c r="D16" s="6" t="e">
        <f>#REF!</f>
        <v>#REF!</v>
      </c>
      <c r="E16" s="6"/>
      <c r="G16" s="3">
        <f>'ODA-GNI time series'!F52/100</f>
        <v>3.4012608391818348E-3</v>
      </c>
    </row>
    <row r="17" spans="1:8" x14ac:dyDescent="0.25">
      <c r="B17" t="s">
        <v>4</v>
      </c>
      <c r="C17">
        <f>'ODA-GNI time series'!B53</f>
        <v>5032</v>
      </c>
      <c r="D17" s="6" t="e">
        <f>#REF!</f>
        <v>#REF!</v>
      </c>
      <c r="E17" s="6" t="e">
        <f>D17-D16</f>
        <v>#REF!</v>
      </c>
      <c r="F17" s="11" t="e">
        <f>E17/D16*100</f>
        <v>#REF!</v>
      </c>
      <c r="G17" s="3">
        <f>'ODA-GNI time series'!F53/100</f>
        <v>3.2631716835553526E-3</v>
      </c>
      <c r="H17" s="3">
        <f>G17-G16</f>
        <v>-1.3808915562648228E-4</v>
      </c>
    </row>
    <row r="18" spans="1:8" x14ac:dyDescent="0.25">
      <c r="B18" t="s">
        <v>45</v>
      </c>
      <c r="C18">
        <f>'ODA-GNI time series'!B54</f>
        <v>5032</v>
      </c>
      <c r="D18" s="6" t="e">
        <f>#REF!</f>
        <v>#REF!</v>
      </c>
      <c r="E18" s="6" t="e">
        <f>D18-D17</f>
        <v>#REF!</v>
      </c>
      <c r="F18" s="11" t="e">
        <f>E18/D17*100</f>
        <v>#REF!</v>
      </c>
      <c r="G18" s="3">
        <f>'ODA-GNI time series'!F54/100</f>
        <v>3.1893094752026754E-3</v>
      </c>
      <c r="H18" s="3">
        <f>G18-G17</f>
        <v>-7.3862208352677185E-5</v>
      </c>
    </row>
    <row r="19" spans="1:8" x14ac:dyDescent="0.25">
      <c r="B19" t="s">
        <v>44</v>
      </c>
      <c r="C19">
        <f>'ODA-GNI time series'!B55</f>
        <v>4052</v>
      </c>
      <c r="D19" s="6" t="e">
        <f>#REF!</f>
        <v>#REF!</v>
      </c>
      <c r="E19" s="6" t="e">
        <f>D19-D18</f>
        <v>#REF!</v>
      </c>
      <c r="F19" s="11" t="e">
        <f>E19/D18*100</f>
        <v>#REF!</v>
      </c>
      <c r="G19" s="3">
        <f>'ODA-GNI time series'!F55/100</f>
        <v>2.5055415086899916E-3</v>
      </c>
      <c r="H19" s="3">
        <f>G19-G18</f>
        <v>-6.8376796651268374E-4</v>
      </c>
    </row>
    <row r="20" spans="1:8" x14ac:dyDescent="0.25">
      <c r="B20" t="s">
        <v>43</v>
      </c>
      <c r="C20">
        <f>'ODA-GNI time series'!B56</f>
        <v>3828</v>
      </c>
      <c r="D20" s="6" t="e">
        <f>#REF!</f>
        <v>#REF!</v>
      </c>
      <c r="E20" s="6" t="e">
        <f>D20-D19</f>
        <v>#REF!</v>
      </c>
      <c r="F20" s="11" t="e">
        <f>E20/D19*100</f>
        <v>#REF!</v>
      </c>
      <c r="G20" s="3">
        <f>'ODA-GNI time series'!F56/100</f>
        <v>2.270534110582876E-3</v>
      </c>
      <c r="H20" s="3">
        <f>G20-G19</f>
        <v>-2.350073981071156E-4</v>
      </c>
    </row>
    <row r="21" spans="1:8" x14ac:dyDescent="0.25">
      <c r="B21" t="s">
        <v>42</v>
      </c>
      <c r="C21">
        <f>'ODA-GNI time series'!B57</f>
        <v>3912</v>
      </c>
      <c r="D21" s="6" t="e">
        <f>#REF!</f>
        <v>#REF!</v>
      </c>
      <c r="E21" s="6" t="e">
        <f>D21-D20</f>
        <v>#REF!</v>
      </c>
      <c r="F21" s="11" t="e">
        <f>E21/D20*100</f>
        <v>#REF!</v>
      </c>
      <c r="G21" s="3">
        <f>'ODA-GNI time series'!F57/100</f>
        <v>2.2098645172414317E-3</v>
      </c>
      <c r="H21" s="3">
        <f>G21-G20</f>
        <v>-6.0669593341444294E-5</v>
      </c>
    </row>
    <row r="23" spans="1:8" x14ac:dyDescent="0.25">
      <c r="B23" t="s">
        <v>75</v>
      </c>
    </row>
    <row r="24" spans="1:8" x14ac:dyDescent="0.25">
      <c r="B24" t="s">
        <v>106</v>
      </c>
      <c r="C24" t="s">
        <v>80</v>
      </c>
    </row>
    <row r="25" spans="1:8" x14ac:dyDescent="0.25">
      <c r="A25" t="s">
        <v>81</v>
      </c>
      <c r="B25" s="6">
        <f>-(E3+E4+E5)</f>
        <v>518.05960127844264</v>
      </c>
      <c r="C25" s="12">
        <f>B25/D2</f>
        <v>0.17458441021265866</v>
      </c>
    </row>
    <row r="26" spans="1:8" x14ac:dyDescent="0.25">
      <c r="A26" t="s">
        <v>82</v>
      </c>
      <c r="B26" s="6">
        <f>-(E10+E11)</f>
        <v>281.61982115675482</v>
      </c>
      <c r="C26" s="12">
        <f>B26/D9</f>
        <v>9.8505012494733091E-2</v>
      </c>
    </row>
    <row r="27" spans="1:8" x14ac:dyDescent="0.25">
      <c r="A27" t="s">
        <v>84</v>
      </c>
      <c r="B27" s="6" t="e">
        <f>-(SUM(E17:E20))</f>
        <v>#REF!</v>
      </c>
      <c r="C27" s="12" t="e">
        <f>B27/D16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2016-17 budget</vt:lpstr>
      <vt:lpstr>ODA-exp time series</vt:lpstr>
      <vt:lpstr>ODA-GNI time series</vt:lpstr>
      <vt:lpstr>Historic cuts comparison</vt:lpstr>
    </vt:vector>
  </TitlesOfParts>
  <Company>ANU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Parima Panpruet</dc:creator>
  <cp:lastModifiedBy>Stephen Howes</cp:lastModifiedBy>
  <cp:lastPrinted>2014-05-13T04:37:30Z</cp:lastPrinted>
  <dcterms:created xsi:type="dcterms:W3CDTF">2013-08-28T03:04:12Z</dcterms:created>
  <dcterms:modified xsi:type="dcterms:W3CDTF">2016-05-03T13:43:24Z</dcterms:modified>
</cp:coreProperties>
</file>