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1980" yWindow="-435" windowWidth="29835" windowHeight="15600" tabRatio="500" firstSheet="1" activeTab="1"/>
  </bookViews>
  <sheets>
    <sheet name="AusAID Exp by mode of delivery" sheetId="2" r:id="rId1"/>
    <sheet name="Composition of Australian ODA" sheetId="3" r:id="rId2"/>
    <sheet name="Breakdown of multilaterals" sheetId="4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3" l="1"/>
  <c r="I26" i="2"/>
  <c r="I27" i="2"/>
  <c r="I28" i="2"/>
  <c r="I29" i="2"/>
  <c r="D26" i="2"/>
  <c r="E26" i="2"/>
  <c r="F26" i="2"/>
  <c r="G26" i="2"/>
  <c r="H26" i="2"/>
  <c r="D27" i="2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C26" i="2"/>
  <c r="C27" i="2"/>
  <c r="C28" i="2"/>
  <c r="C29" i="2"/>
  <c r="B27" i="2"/>
  <c r="B28" i="2"/>
  <c r="B29" i="2"/>
  <c r="B26" i="2"/>
  <c r="B22" i="2"/>
  <c r="C22" i="2"/>
  <c r="D22" i="2"/>
  <c r="E22" i="2"/>
  <c r="F22" i="2"/>
  <c r="G22" i="2"/>
  <c r="H22" i="2"/>
  <c r="B23" i="2"/>
  <c r="C23" i="2"/>
  <c r="D23" i="2"/>
  <c r="E23" i="2"/>
  <c r="F23" i="2"/>
  <c r="G23" i="2"/>
  <c r="H23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7" i="2"/>
  <c r="G17" i="2"/>
  <c r="F17" i="2"/>
  <c r="E17" i="2"/>
  <c r="C17" i="2"/>
  <c r="I3" i="2"/>
  <c r="C3" i="2"/>
  <c r="R16" i="2"/>
  <c r="H3" i="2"/>
  <c r="M3" i="4"/>
  <c r="M10" i="4"/>
  <c r="AA3" i="4"/>
  <c r="M4" i="4"/>
  <c r="AA4" i="4"/>
  <c r="M5" i="4"/>
  <c r="AA5" i="4"/>
  <c r="M6" i="4"/>
  <c r="AA6" i="4"/>
  <c r="M7" i="4"/>
  <c r="AA7" i="4"/>
  <c r="M8" i="4"/>
  <c r="AA8" i="4"/>
  <c r="M9" i="4"/>
  <c r="AA9" i="4"/>
  <c r="M2" i="4"/>
  <c r="AA2" i="4"/>
  <c r="L3" i="4"/>
  <c r="L10" i="4"/>
  <c r="Z3" i="4"/>
  <c r="L4" i="4"/>
  <c r="Z4" i="4"/>
  <c r="L5" i="4"/>
  <c r="Z5" i="4"/>
  <c r="L6" i="4"/>
  <c r="Z6" i="4"/>
  <c r="L7" i="4"/>
  <c r="Z7" i="4"/>
  <c r="L8" i="4"/>
  <c r="Z8" i="4"/>
  <c r="L9" i="4"/>
  <c r="Z9" i="4"/>
  <c r="L2" i="4"/>
  <c r="Z2" i="4"/>
  <c r="Y9" i="4"/>
  <c r="X9" i="4"/>
  <c r="W9" i="4"/>
  <c r="V9" i="4"/>
  <c r="U9" i="4"/>
  <c r="T9" i="4"/>
  <c r="S9" i="4"/>
  <c r="R9" i="4"/>
  <c r="Q9" i="4"/>
  <c r="P9" i="4"/>
  <c r="Y8" i="4"/>
  <c r="X8" i="4"/>
  <c r="W8" i="4"/>
  <c r="V8" i="4"/>
  <c r="U8" i="4"/>
  <c r="T8" i="4"/>
  <c r="S8" i="4"/>
  <c r="R8" i="4"/>
  <c r="Q8" i="4"/>
  <c r="P8" i="4"/>
  <c r="Y7" i="4"/>
  <c r="X7" i="4"/>
  <c r="W7" i="4"/>
  <c r="V7" i="4"/>
  <c r="U7" i="4"/>
  <c r="T7" i="4"/>
  <c r="S7" i="4"/>
  <c r="R7" i="4"/>
  <c r="Q7" i="4"/>
  <c r="P7" i="4"/>
  <c r="Y6" i="4"/>
  <c r="X6" i="4"/>
  <c r="W6" i="4"/>
  <c r="V6" i="4"/>
  <c r="U6" i="4"/>
  <c r="T6" i="4"/>
  <c r="S6" i="4"/>
  <c r="R6" i="4"/>
  <c r="Q6" i="4"/>
  <c r="P6" i="4"/>
  <c r="Y5" i="4"/>
  <c r="X5" i="4"/>
  <c r="W5" i="4"/>
  <c r="V5" i="4"/>
  <c r="U5" i="4"/>
  <c r="T5" i="4"/>
  <c r="S5" i="4"/>
  <c r="R5" i="4"/>
  <c r="Q5" i="4"/>
  <c r="P5" i="4"/>
  <c r="Y4" i="4"/>
  <c r="X4" i="4"/>
  <c r="W4" i="4"/>
  <c r="V4" i="4"/>
  <c r="U4" i="4"/>
  <c r="T4" i="4"/>
  <c r="S4" i="4"/>
  <c r="R4" i="4"/>
  <c r="Q4" i="4"/>
  <c r="P4" i="4"/>
  <c r="Y3" i="4"/>
  <c r="X3" i="4"/>
  <c r="W3" i="4"/>
  <c r="V3" i="4"/>
  <c r="U3" i="4"/>
  <c r="T3" i="4"/>
  <c r="S3" i="4"/>
  <c r="R3" i="4"/>
  <c r="Q3" i="4"/>
  <c r="P3" i="4"/>
  <c r="Y2" i="4"/>
  <c r="X2" i="4"/>
  <c r="W2" i="4"/>
  <c r="V2" i="4"/>
  <c r="U2" i="4"/>
  <c r="T2" i="4"/>
  <c r="S2" i="4"/>
  <c r="R2" i="4"/>
  <c r="Q2" i="4"/>
  <c r="P2" i="4"/>
  <c r="O37" i="3"/>
  <c r="O16" i="3"/>
  <c r="O40" i="3"/>
  <c r="N37" i="3"/>
  <c r="N16" i="3"/>
  <c r="N40" i="3"/>
  <c r="M37" i="3"/>
  <c r="M16" i="3"/>
  <c r="M40" i="3"/>
  <c r="L37" i="3"/>
  <c r="L16" i="3"/>
  <c r="L40" i="3"/>
  <c r="K37" i="3"/>
  <c r="K16" i="3"/>
  <c r="K40" i="3"/>
  <c r="J37" i="3"/>
  <c r="J16" i="3"/>
  <c r="J40" i="3"/>
  <c r="I37" i="3"/>
  <c r="I16" i="3"/>
  <c r="I40" i="3"/>
  <c r="H37" i="3"/>
  <c r="H16" i="3"/>
  <c r="H40" i="3"/>
  <c r="G37" i="3"/>
  <c r="G16" i="3"/>
  <c r="G40" i="3"/>
  <c r="F37" i="3"/>
  <c r="F16" i="3"/>
  <c r="F40" i="3"/>
  <c r="E37" i="3"/>
  <c r="E16" i="3"/>
  <c r="E40" i="3"/>
  <c r="D37" i="3"/>
  <c r="D16" i="3"/>
  <c r="D40" i="3"/>
  <c r="C37" i="3"/>
  <c r="C16" i="3"/>
  <c r="C40" i="3"/>
  <c r="B37" i="3"/>
  <c r="B16" i="3"/>
  <c r="B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O22" i="3"/>
  <c r="O23" i="3"/>
  <c r="O24" i="3"/>
  <c r="O25" i="3"/>
  <c r="O26" i="3"/>
  <c r="O33" i="3"/>
  <c r="N22" i="3"/>
  <c r="N23" i="3"/>
  <c r="N24" i="3"/>
  <c r="N25" i="3"/>
  <c r="N26" i="3"/>
  <c r="N33" i="3"/>
  <c r="M22" i="3"/>
  <c r="M23" i="3"/>
  <c r="M24" i="3"/>
  <c r="M25" i="3"/>
  <c r="M26" i="3"/>
  <c r="M33" i="3"/>
  <c r="L22" i="3"/>
  <c r="L23" i="3"/>
  <c r="L24" i="3"/>
  <c r="L25" i="3"/>
  <c r="L26" i="3"/>
  <c r="L33" i="3"/>
  <c r="K22" i="3"/>
  <c r="K23" i="3"/>
  <c r="K24" i="3"/>
  <c r="K25" i="3"/>
  <c r="K26" i="3"/>
  <c r="K33" i="3"/>
  <c r="J22" i="3"/>
  <c r="J23" i="3"/>
  <c r="J24" i="3"/>
  <c r="J25" i="3"/>
  <c r="J26" i="3"/>
  <c r="J33" i="3"/>
  <c r="I22" i="3"/>
  <c r="I23" i="3"/>
  <c r="I24" i="3"/>
  <c r="I25" i="3"/>
  <c r="I26" i="3"/>
  <c r="I33" i="3"/>
  <c r="H22" i="3"/>
  <c r="H23" i="3"/>
  <c r="H24" i="3"/>
  <c r="H25" i="3"/>
  <c r="H26" i="3"/>
  <c r="H33" i="3"/>
  <c r="G22" i="3"/>
  <c r="G23" i="3"/>
  <c r="G24" i="3"/>
  <c r="G25" i="3"/>
  <c r="G26" i="3"/>
  <c r="G33" i="3"/>
  <c r="F22" i="3"/>
  <c r="F23" i="3"/>
  <c r="F24" i="3"/>
  <c r="F25" i="3"/>
  <c r="F26" i="3"/>
  <c r="F33" i="3"/>
  <c r="E22" i="3"/>
  <c r="E23" i="3"/>
  <c r="E24" i="3"/>
  <c r="E25" i="3"/>
  <c r="E26" i="3"/>
  <c r="E33" i="3"/>
  <c r="D22" i="3"/>
  <c r="D23" i="3"/>
  <c r="D24" i="3"/>
  <c r="D25" i="3"/>
  <c r="D26" i="3"/>
  <c r="D33" i="3"/>
  <c r="C22" i="3"/>
  <c r="C23" i="3"/>
  <c r="C24" i="3"/>
  <c r="C25" i="3"/>
  <c r="C26" i="3"/>
  <c r="C33" i="3"/>
  <c r="B22" i="3"/>
  <c r="B23" i="3"/>
  <c r="B24" i="3"/>
  <c r="B25" i="3"/>
  <c r="B26" i="3"/>
  <c r="B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C28" i="3"/>
  <c r="D28" i="3"/>
  <c r="E28" i="3"/>
  <c r="F28" i="3"/>
  <c r="G28" i="3"/>
  <c r="H28" i="3"/>
  <c r="I28" i="3"/>
  <c r="J28" i="3"/>
  <c r="K28" i="3"/>
  <c r="C21" i="3"/>
  <c r="D21" i="3"/>
  <c r="E21" i="3"/>
  <c r="F21" i="3"/>
  <c r="G21" i="3"/>
  <c r="H21" i="3"/>
  <c r="I21" i="3"/>
  <c r="J21" i="3"/>
  <c r="K21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R9" i="2"/>
  <c r="Q9" i="2"/>
  <c r="P9" i="2"/>
  <c r="O9" i="2"/>
  <c r="N9" i="2"/>
  <c r="M9" i="2"/>
  <c r="L9" i="2"/>
  <c r="K9" i="2"/>
  <c r="R8" i="2"/>
  <c r="Q8" i="2"/>
  <c r="P8" i="2"/>
  <c r="O8" i="2"/>
  <c r="N8" i="2"/>
  <c r="M8" i="2"/>
  <c r="L8" i="2"/>
  <c r="K8" i="2"/>
  <c r="R7" i="2"/>
  <c r="Q7" i="2"/>
  <c r="P7" i="2"/>
  <c r="O7" i="2"/>
  <c r="N7" i="2"/>
  <c r="M7" i="2"/>
  <c r="L7" i="2"/>
  <c r="K7" i="2"/>
  <c r="I6" i="2"/>
  <c r="R6" i="2"/>
  <c r="Q6" i="2"/>
  <c r="P6" i="2"/>
  <c r="O6" i="2"/>
  <c r="N6" i="2"/>
  <c r="M6" i="2"/>
  <c r="L6" i="2"/>
  <c r="K6" i="2"/>
  <c r="I5" i="2"/>
  <c r="R5" i="2"/>
  <c r="Q5" i="2"/>
  <c r="P5" i="2"/>
  <c r="O5" i="2"/>
  <c r="N5" i="2"/>
  <c r="M5" i="2"/>
  <c r="L5" i="2"/>
  <c r="K5" i="2"/>
  <c r="I4" i="2"/>
  <c r="R4" i="2"/>
  <c r="Q4" i="2"/>
  <c r="P4" i="2"/>
  <c r="O4" i="2"/>
  <c r="N4" i="2"/>
  <c r="M4" i="2"/>
  <c r="L4" i="2"/>
  <c r="K4" i="2"/>
  <c r="R3" i="2"/>
  <c r="Q3" i="2"/>
  <c r="G3" i="2"/>
  <c r="P3" i="2"/>
  <c r="F3" i="2"/>
  <c r="O3" i="2"/>
  <c r="E3" i="2"/>
  <c r="N3" i="2"/>
  <c r="M3" i="2"/>
  <c r="L3" i="2"/>
  <c r="K3" i="2"/>
</calcChain>
</file>

<file path=xl/comments1.xml><?xml version="1.0" encoding="utf-8"?>
<comments xmlns="http://schemas.openxmlformats.org/spreadsheetml/2006/main">
  <authors>
    <author>Parima Panpruet</author>
  </authors>
  <commentList>
    <comment ref="M2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Actual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Estimated Outcome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Budget Estimate</t>
        </r>
      </text>
    </comment>
    <comment ref="M35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Actual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Estimated Outcome</t>
        </r>
      </text>
    </comment>
    <comment ref="O35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Budget Estimate</t>
        </r>
      </text>
    </comment>
  </commentList>
</comments>
</file>

<file path=xl/comments2.xml><?xml version="1.0" encoding="utf-8"?>
<comments xmlns="http://schemas.openxmlformats.org/spreadsheetml/2006/main">
  <authors>
    <author>parima panpruet</author>
  </authors>
  <commentList>
    <comment ref="L1" authorId="0">
      <text>
        <r>
          <rPr>
            <b/>
            <sz val="9"/>
            <color indexed="81"/>
            <rFont val="Calibri"/>
            <family val="2"/>
          </rPr>
          <t>parima panpruet:</t>
        </r>
        <r>
          <rPr>
            <sz val="9"/>
            <color indexed="81"/>
            <rFont val="Calibri"/>
            <family val="2"/>
          </rPr>
          <t xml:space="preserve">
3-year average
</t>
        </r>
      </text>
    </comment>
    <comment ref="M1" authorId="0">
      <text>
        <r>
          <rPr>
            <b/>
            <sz val="9"/>
            <color indexed="81"/>
            <rFont val="Calibri"/>
            <family val="2"/>
          </rPr>
          <t>parima panpruet:</t>
        </r>
        <r>
          <rPr>
            <sz val="9"/>
            <color indexed="81"/>
            <rFont val="Calibri"/>
            <family val="2"/>
          </rPr>
          <t xml:space="preserve">
3-year average
</t>
        </r>
      </text>
    </comment>
    <comment ref="Z1" authorId="0">
      <text>
        <r>
          <rPr>
            <b/>
            <sz val="9"/>
            <color indexed="81"/>
            <rFont val="Calibri"/>
            <family val="2"/>
          </rPr>
          <t>parima panpruet:</t>
        </r>
        <r>
          <rPr>
            <sz val="9"/>
            <color indexed="81"/>
            <rFont val="Calibri"/>
            <family val="2"/>
          </rPr>
          <t xml:space="preserve">
3-year average
</t>
        </r>
      </text>
    </comment>
    <comment ref="AA1" authorId="0">
      <text>
        <r>
          <rPr>
            <b/>
            <sz val="9"/>
            <color indexed="81"/>
            <rFont val="Calibri"/>
            <family val="2"/>
          </rPr>
          <t>parima panpruet:</t>
        </r>
        <r>
          <rPr>
            <sz val="9"/>
            <color indexed="81"/>
            <rFont val="Calibri"/>
            <family val="2"/>
          </rPr>
          <t xml:space="preserve">
3-year average
</t>
        </r>
      </text>
    </comment>
  </commentList>
</comments>
</file>

<file path=xl/sharedStrings.xml><?xml version="1.0" encoding="utf-8"?>
<sst xmlns="http://schemas.openxmlformats.org/spreadsheetml/2006/main" count="194" uniqueCount="86">
  <si>
    <t>Type of Development Partner as a % of total Australian ODA</t>
  </si>
  <si>
    <t>Financial year</t>
  </si>
  <si>
    <t>Multilateral organisations</t>
  </si>
  <si>
    <t>Commercial suppliers</t>
  </si>
  <si>
    <t>Non-government organisations</t>
  </si>
  <si>
    <t>Universities and academic institutions</t>
  </si>
  <si>
    <t>Developing country governments</t>
  </si>
  <si>
    <t>Australian public sector organisations</t>
  </si>
  <si>
    <t>Other partners</t>
  </si>
  <si>
    <t>Total AusAID ODA</t>
  </si>
  <si>
    <t>Total AusAID ODA (constant prices)</t>
  </si>
  <si>
    <t>2005-06</t>
  </si>
  <si>
    <t>2006-07</t>
  </si>
  <si>
    <t>2007-08</t>
  </si>
  <si>
    <t>2008-09</t>
  </si>
  <si>
    <t>2009-10</t>
  </si>
  <si>
    <t>2010-11</t>
  </si>
  <si>
    <t>2011-12</t>
  </si>
  <si>
    <t>Unit: $'000</t>
  </si>
  <si>
    <t>Source: 2009-12: Table 2. AusAID Program Official Development Assistance, Strategic Goals by Type of Partner (Green book)</t>
  </si>
  <si>
    <t>Data Type: Current Prices</t>
  </si>
  <si>
    <t>2005-2009: Table 25. Other Government Departments' Official Development Assistance, Region of Benefit</t>
  </si>
  <si>
    <t>2005-2009: Table 6. Australian Official Development Assistance, Partner Country (total AusAID ODA figures)</t>
  </si>
  <si>
    <t>2005-2009: Table 23. Australian Official Development Assistance Through Multilateral and Regional Organisations</t>
  </si>
  <si>
    <t>Multilateral Organisations</t>
  </si>
  <si>
    <t>Private Contractors</t>
  </si>
  <si>
    <t>NGOs</t>
  </si>
  <si>
    <t xml:space="preserve">Universities </t>
  </si>
  <si>
    <t>Partner Governments</t>
  </si>
  <si>
    <t>Australian Public Sector</t>
  </si>
  <si>
    <t>Other Partners</t>
  </si>
  <si>
    <t>-</t>
  </si>
  <si>
    <t>`</t>
  </si>
  <si>
    <t>Table 1: Composition of Australian ODA</t>
  </si>
  <si>
    <t>Year</t>
  </si>
  <si>
    <t>2000-01</t>
  </si>
  <si>
    <t>2001-02</t>
  </si>
  <si>
    <t>2002-03</t>
  </si>
  <si>
    <t>2003-04</t>
  </si>
  <si>
    <t>2004-05</t>
  </si>
  <si>
    <t>2012-13</t>
  </si>
  <si>
    <t>2013-14</t>
  </si>
  <si>
    <t>AusAID country Programs</t>
  </si>
  <si>
    <t>AUsAID global programs</t>
  </si>
  <si>
    <t>AusAID Departmental</t>
  </si>
  <si>
    <t>AIPRD</t>
  </si>
  <si>
    <t>ACIAR</t>
  </si>
  <si>
    <t>Other government departments</t>
  </si>
  <si>
    <t>Adjustments</t>
  </si>
  <si>
    <t xml:space="preserve">Administered </t>
  </si>
  <si>
    <t>Departmental</t>
  </si>
  <si>
    <t>Less new multi year liabilities</t>
  </si>
  <si>
    <t xml:space="preserve">plus cash paid to multi year liabilities </t>
  </si>
  <si>
    <t>Funds approved but not yet allocated</t>
  </si>
  <si>
    <t xml:space="preserve">Depreciation </t>
  </si>
  <si>
    <t>Total ODA</t>
  </si>
  <si>
    <t>Real change over previous year outcome</t>
  </si>
  <si>
    <t xml:space="preserve">ODA/GNI ratio </t>
  </si>
  <si>
    <t>Table 1.1: Further Analysis of ODA (Percent)</t>
  </si>
  <si>
    <t xml:space="preserve">Year </t>
  </si>
  <si>
    <t>AusAID</t>
  </si>
  <si>
    <t>OGD</t>
  </si>
  <si>
    <t>Multilateral</t>
  </si>
  <si>
    <t>Other</t>
  </si>
  <si>
    <t>Table 1.2: Further Analysis of ODA ($M)</t>
  </si>
  <si>
    <t>Table 1.3</t>
  </si>
  <si>
    <t>AusAID departmental</t>
  </si>
  <si>
    <t>Share of global programs in total ODA</t>
  </si>
  <si>
    <t>Share of country programs in total ODA</t>
  </si>
  <si>
    <t>Share of ODA appropriated to Departments other than AusAID</t>
  </si>
  <si>
    <t>Percent</t>
  </si>
  <si>
    <t>World Bank group</t>
  </si>
  <si>
    <t xml:space="preserve">Asian Development Bank </t>
  </si>
  <si>
    <t xml:space="preserve">International Monetary Fund </t>
  </si>
  <si>
    <t xml:space="preserve">United Nations </t>
  </si>
  <si>
    <t xml:space="preserve">Commonwealth organisations </t>
  </si>
  <si>
    <t>Global and multi-regional organisations</t>
  </si>
  <si>
    <t>Asian regional organisations</t>
  </si>
  <si>
    <t xml:space="preserve">Pacific regional organisations </t>
  </si>
  <si>
    <t xml:space="preserve">Total </t>
  </si>
  <si>
    <t>2002-03-2004-05</t>
  </si>
  <si>
    <t>2009-10-2011-12</t>
  </si>
  <si>
    <t>TOTAL AUSTRALIAN ODA (Current)</t>
  </si>
  <si>
    <t>TOTAL AUSTRALIAN ODA (Constant)</t>
  </si>
  <si>
    <t>000</t>
  </si>
  <si>
    <t>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</si>
</sst>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??_);_(@_)"/>
    <numFmt numFmtId="166" formatCode="0.00_ ;[Red]\-0.00\ 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theme="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0" borderId="0" xfId="1"/>
    <xf numFmtId="0" fontId="3" fillId="4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right" vertical="top"/>
    </xf>
    <xf numFmtId="0" fontId="3" fillId="0" borderId="1" xfId="1" applyFont="1" applyBorder="1"/>
    <xf numFmtId="164" fontId="3" fillId="0" borderId="1" xfId="1" applyNumberFormat="1" applyFont="1" applyBorder="1"/>
    <xf numFmtId="164" fontId="3" fillId="0" borderId="1" xfId="2" applyNumberFormat="1" applyFont="1" applyBorder="1" applyAlignment="1">
      <alignment horizontal="right" vertical="top"/>
    </xf>
    <xf numFmtId="164" fontId="3" fillId="0" borderId="1" xfId="1" applyNumberFormat="1" applyFont="1" applyFill="1" applyBorder="1"/>
    <xf numFmtId="9" fontId="3" fillId="0" borderId="1" xfId="1" applyNumberFormat="1" applyFont="1" applyBorder="1"/>
    <xf numFmtId="1" fontId="5" fillId="4" borderId="1" xfId="1" applyNumberFormat="1" applyFont="1" applyFill="1" applyBorder="1" applyAlignment="1">
      <alignment horizontal="right" vertical="top"/>
    </xf>
    <xf numFmtId="164" fontId="3" fillId="0" borderId="1" xfId="1" applyNumberFormat="1" applyFont="1" applyBorder="1" applyAlignment="1">
      <alignment horizontal="right" vertical="top"/>
    </xf>
    <xf numFmtId="0" fontId="3" fillId="0" borderId="0" xfId="1" applyFont="1"/>
    <xf numFmtId="0" fontId="6" fillId="0" borderId="0" xfId="1" applyFont="1"/>
    <xf numFmtId="0" fontId="5" fillId="5" borderId="0" xfId="1" applyFont="1" applyFill="1" applyAlignment="1">
      <alignment horizontal="left" vertical="top"/>
    </xf>
    <xf numFmtId="0" fontId="3" fillId="0" borderId="0" xfId="1" applyFont="1" applyBorder="1"/>
    <xf numFmtId="0" fontId="6" fillId="0" borderId="0" xfId="1" applyFont="1" applyBorder="1"/>
    <xf numFmtId="0" fontId="2" fillId="0" borderId="2" xfId="1" applyBorder="1" applyAlignment="1">
      <alignment horizontal="center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right"/>
    </xf>
    <xf numFmtId="9" fontId="3" fillId="0" borderId="0" xfId="1" applyNumberFormat="1" applyFont="1" applyBorder="1"/>
    <xf numFmtId="9" fontId="3" fillId="0" borderId="0" xfId="1" applyNumberFormat="1" applyFont="1" applyBorder="1" applyAlignment="1">
      <alignment horizontal="right" vertical="top" wrapText="1"/>
    </xf>
    <xf numFmtId="9" fontId="3" fillId="0" borderId="6" xfId="1" applyNumberFormat="1" applyFont="1" applyBorder="1" applyAlignment="1">
      <alignment horizontal="right" vertical="top" wrapText="1"/>
    </xf>
    <xf numFmtId="0" fontId="5" fillId="0" borderId="5" xfId="1" applyFont="1" applyBorder="1" applyAlignment="1">
      <alignment horizontal="right" vertical="top"/>
    </xf>
    <xf numFmtId="1" fontId="5" fillId="5" borderId="5" xfId="1" applyNumberFormat="1" applyFont="1" applyFill="1" applyBorder="1" applyAlignment="1">
      <alignment horizontal="right" vertical="top"/>
    </xf>
    <xf numFmtId="9" fontId="3" fillId="0" borderId="6" xfId="1" applyNumberFormat="1" applyFont="1" applyBorder="1"/>
    <xf numFmtId="43" fontId="2" fillId="0" borderId="0" xfId="1" applyNumberFormat="1"/>
    <xf numFmtId="165" fontId="5" fillId="0" borderId="0" xfId="1" applyNumberFormat="1" applyFont="1" applyFill="1" applyBorder="1" applyAlignment="1"/>
    <xf numFmtId="0" fontId="5" fillId="5" borderId="5" xfId="1" applyFont="1" applyFill="1" applyBorder="1" applyAlignment="1">
      <alignment horizontal="right" vertical="top"/>
    </xf>
    <xf numFmtId="0" fontId="5" fillId="5" borderId="7" xfId="1" applyFont="1" applyFill="1" applyBorder="1" applyAlignment="1">
      <alignment horizontal="right" vertical="top"/>
    </xf>
    <xf numFmtId="9" fontId="3" fillId="0" borderId="8" xfId="1" applyNumberFormat="1" applyFont="1" applyBorder="1"/>
    <xf numFmtId="9" fontId="3" fillId="0" borderId="9" xfId="1" applyNumberFormat="1" applyFont="1" applyBorder="1"/>
    <xf numFmtId="0" fontId="3" fillId="0" borderId="0" xfId="1" applyFont="1" applyBorder="1" applyAlignment="1">
      <alignment horizontal="right" vertical="top" wrapText="1"/>
    </xf>
    <xf numFmtId="0" fontId="7" fillId="6" borderId="8" xfId="1" applyFont="1" applyFill="1" applyBorder="1"/>
    <xf numFmtId="0" fontId="2" fillId="0" borderId="8" xfId="1" applyBorder="1"/>
    <xf numFmtId="0" fontId="7" fillId="0" borderId="8" xfId="1" applyFont="1" applyBorder="1"/>
    <xf numFmtId="0" fontId="2" fillId="7" borderId="0" xfId="1" applyFill="1"/>
    <xf numFmtId="166" fontId="2" fillId="0" borderId="0" xfId="1" applyNumberFormat="1"/>
    <xf numFmtId="0" fontId="8" fillId="7" borderId="0" xfId="1" applyFont="1" applyFill="1" applyAlignment="1">
      <alignment horizontal="left" indent="5"/>
    </xf>
    <xf numFmtId="0" fontId="2" fillId="7" borderId="0" xfId="1" applyFill="1" applyBorder="1"/>
    <xf numFmtId="166" fontId="2" fillId="0" borderId="0" xfId="1" applyNumberFormat="1" applyBorder="1"/>
    <xf numFmtId="0" fontId="2" fillId="0" borderId="0" xfId="1" applyBorder="1"/>
    <xf numFmtId="0" fontId="7" fillId="3" borderId="10" xfId="1" applyFont="1" applyFill="1" applyBorder="1"/>
    <xf numFmtId="0" fontId="7" fillId="0" borderId="10" xfId="1" applyFont="1" applyBorder="1"/>
    <xf numFmtId="0" fontId="2" fillId="3" borderId="0" xfId="1" applyFill="1"/>
    <xf numFmtId="0" fontId="2" fillId="3" borderId="8" xfId="1" applyFont="1" applyFill="1" applyBorder="1"/>
    <xf numFmtId="10" fontId="2" fillId="0" borderId="8" xfId="1" applyNumberFormat="1" applyBorder="1"/>
    <xf numFmtId="0" fontId="2" fillId="0" borderId="8" xfId="1" applyFont="1" applyBorder="1"/>
    <xf numFmtId="0" fontId="7" fillId="6" borderId="10" xfId="1" applyFont="1" applyFill="1" applyBorder="1"/>
    <xf numFmtId="0" fontId="2" fillId="0" borderId="10" xfId="1" applyBorder="1"/>
    <xf numFmtId="0" fontId="9" fillId="0" borderId="1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10" fontId="2" fillId="0" borderId="0" xfId="1" applyNumberFormat="1"/>
    <xf numFmtId="10" fontId="2" fillId="3" borderId="10" xfId="1" applyNumberFormat="1" applyFill="1" applyBorder="1"/>
    <xf numFmtId="0" fontId="2" fillId="3" borderId="10" xfId="1" applyFill="1" applyBorder="1"/>
    <xf numFmtId="2" fontId="2" fillId="0" borderId="0" xfId="1" applyNumberFormat="1"/>
    <xf numFmtId="2" fontId="2" fillId="3" borderId="10" xfId="1" applyNumberFormat="1" applyFill="1" applyBorder="1"/>
    <xf numFmtId="0" fontId="2" fillId="7" borderId="3" xfId="1" applyFill="1" applyBorder="1"/>
    <xf numFmtId="166" fontId="2" fillId="0" borderId="3" xfId="1" applyNumberFormat="1" applyBorder="1"/>
    <xf numFmtId="0" fontId="2" fillId="0" borderId="3" xfId="1" applyBorder="1"/>
    <xf numFmtId="10" fontId="2" fillId="0" borderId="0" xfId="1" applyNumberFormat="1" applyBorder="1"/>
    <xf numFmtId="0" fontId="11" fillId="7" borderId="8" xfId="1" applyFont="1" applyFill="1" applyBorder="1"/>
    <xf numFmtId="0" fontId="2" fillId="6" borderId="8" xfId="1" applyFill="1" applyBorder="1"/>
    <xf numFmtId="9" fontId="2" fillId="0" borderId="0" xfId="1" applyNumberFormat="1"/>
    <xf numFmtId="43" fontId="3" fillId="0" borderId="1" xfId="1" applyNumberFormat="1" applyFont="1" applyBorder="1"/>
    <xf numFmtId="43" fontId="3" fillId="0" borderId="1" xfId="2" applyNumberFormat="1" applyFont="1" applyBorder="1" applyAlignment="1">
      <alignment horizontal="right" vertical="top"/>
    </xf>
    <xf numFmtId="0" fontId="3" fillId="0" borderId="0" xfId="1" quotePrefix="1" applyFont="1" applyAlignment="1">
      <alignment horizontal="center"/>
    </xf>
    <xf numFmtId="0" fontId="1" fillId="0" borderId="0" xfId="1" applyFont="1"/>
    <xf numFmtId="0" fontId="3" fillId="2" borderId="1" xfId="1" applyFont="1" applyFill="1" applyBorder="1" applyAlignment="1">
      <alignment horizontal="center" vertical="center"/>
    </xf>
  </cellXfs>
  <cellStyles count="5">
    <cellStyle name="Comma 2" xfId="2"/>
    <cellStyle name="Followed Hyperlink" xfId="4" builtinId="9" hidden="1"/>
    <cellStyle name="Hyperlink" xfId="3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400"/>
              <a:t>Proportion of AusAID</a:t>
            </a:r>
            <a:r>
              <a:rPr lang="en-AU" sz="1400" baseline="0"/>
              <a:t> Expenditure by Mode of Delivery</a:t>
            </a:r>
            <a:endParaRPr lang="en-AU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3218592096234888E-2"/>
          <c:y val="0.10162275409937642"/>
          <c:w val="0.92611221729832549"/>
          <c:h val="0.79657914847255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'AusAID Exp by mode of delivery'!$K$16</c:f>
              <c:strCache>
                <c:ptCount val="1"/>
                <c:pt idx="0">
                  <c:v>2005-06</c:v>
                </c:pt>
              </c:strCache>
            </c:strRef>
          </c:tx>
          <c:invertIfNegative val="0"/>
          <c:cat>
            <c:strRef>
              <c:f>'AusAID Exp by mode of delivery'!$L$15:$R$15</c:f>
              <c:strCache>
                <c:ptCount val="7"/>
                <c:pt idx="0">
                  <c:v>Multilateral Organisations</c:v>
                </c:pt>
                <c:pt idx="1">
                  <c:v>Private Contractors</c:v>
                </c:pt>
                <c:pt idx="2">
                  <c:v>NGOs</c:v>
                </c:pt>
                <c:pt idx="3">
                  <c:v>Universities </c:v>
                </c:pt>
                <c:pt idx="4">
                  <c:v>Partner Governments</c:v>
                </c:pt>
                <c:pt idx="5">
                  <c:v>Australian Public Sector</c:v>
                </c:pt>
                <c:pt idx="6">
                  <c:v>Other Partners</c:v>
                </c:pt>
              </c:strCache>
            </c:strRef>
          </c:cat>
          <c:val>
            <c:numRef>
              <c:f>'AusAID Exp by mode of delivery'!$L$16:$R$16</c:f>
              <c:numCache>
                <c:formatCode>0%</c:formatCode>
                <c:ptCount val="7"/>
                <c:pt idx="0">
                  <c:v>0.32</c:v>
                </c:pt>
                <c:pt idx="1">
                  <c:v>0.41</c:v>
                </c:pt>
                <c:pt idx="2">
                  <c:v>0.08</c:v>
                </c:pt>
                <c:pt idx="3">
                  <c:v>0.03</c:v>
                </c:pt>
                <c:pt idx="4">
                  <c:v>0.02</c:v>
                </c:pt>
                <c:pt idx="5">
                  <c:v>0.04</c:v>
                </c:pt>
                <c:pt idx="6">
                  <c:v>9.9999999999999978E-2</c:v>
                </c:pt>
              </c:numCache>
            </c:numRef>
          </c:val>
        </c:ser>
        <c:ser>
          <c:idx val="1"/>
          <c:order val="1"/>
          <c:tx>
            <c:strRef>
              <c:f>'AusAID Exp by mode of delivery'!$K$20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cat>
            <c:strRef>
              <c:f>'AusAID Exp by mode of delivery'!$L$15:$R$15</c:f>
              <c:strCache>
                <c:ptCount val="7"/>
                <c:pt idx="0">
                  <c:v>Multilateral Organisations</c:v>
                </c:pt>
                <c:pt idx="1">
                  <c:v>Private Contractors</c:v>
                </c:pt>
                <c:pt idx="2">
                  <c:v>NGOs</c:v>
                </c:pt>
                <c:pt idx="3">
                  <c:v>Universities </c:v>
                </c:pt>
                <c:pt idx="4">
                  <c:v>Partner Governments</c:v>
                </c:pt>
                <c:pt idx="5">
                  <c:v>Australian Public Sector</c:v>
                </c:pt>
                <c:pt idx="6">
                  <c:v>Other Partners</c:v>
                </c:pt>
              </c:strCache>
            </c:strRef>
          </c:cat>
          <c:val>
            <c:numRef>
              <c:f>'AusAID Exp by mode of delivery'!$L$20:$R$20</c:f>
              <c:numCache>
                <c:formatCode>0%</c:formatCode>
                <c:ptCount val="7"/>
                <c:pt idx="0">
                  <c:v>0.38860215376593488</c:v>
                </c:pt>
                <c:pt idx="1">
                  <c:v>0.22414275354970661</c:v>
                </c:pt>
                <c:pt idx="2">
                  <c:v>0.12871954445623246</c:v>
                </c:pt>
                <c:pt idx="3">
                  <c:v>3.8664053627552472E-2</c:v>
                </c:pt>
                <c:pt idx="4">
                  <c:v>8.0240050757580172E-2</c:v>
                </c:pt>
                <c:pt idx="5">
                  <c:v>4.3250556118405351E-2</c:v>
                </c:pt>
                <c:pt idx="6">
                  <c:v>9.6380275006333976E-2</c:v>
                </c:pt>
              </c:numCache>
            </c:numRef>
          </c:val>
        </c:ser>
        <c:ser>
          <c:idx val="2"/>
          <c:order val="2"/>
          <c:tx>
            <c:strRef>
              <c:f>'AusAID Exp by mode of delivery'!$K$21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cat>
            <c:strRef>
              <c:f>'AusAID Exp by mode of delivery'!$L$15:$R$15</c:f>
              <c:strCache>
                <c:ptCount val="7"/>
                <c:pt idx="0">
                  <c:v>Multilateral Organisations</c:v>
                </c:pt>
                <c:pt idx="1">
                  <c:v>Private Contractors</c:v>
                </c:pt>
                <c:pt idx="2">
                  <c:v>NGOs</c:v>
                </c:pt>
                <c:pt idx="3">
                  <c:v>Universities </c:v>
                </c:pt>
                <c:pt idx="4">
                  <c:v>Partner Governments</c:v>
                </c:pt>
                <c:pt idx="5">
                  <c:v>Australian Public Sector</c:v>
                </c:pt>
                <c:pt idx="6">
                  <c:v>Other Partners</c:v>
                </c:pt>
              </c:strCache>
            </c:strRef>
          </c:cat>
          <c:val>
            <c:numRef>
              <c:f>'AusAID Exp by mode of delivery'!$L$21:$R$21</c:f>
              <c:numCache>
                <c:formatCode>0%</c:formatCode>
                <c:ptCount val="7"/>
                <c:pt idx="0">
                  <c:v>0.45656084390951457</c:v>
                </c:pt>
                <c:pt idx="1">
                  <c:v>0.18105049886710375</c:v>
                </c:pt>
                <c:pt idx="2">
                  <c:v>0.13574196239569974</c:v>
                </c:pt>
                <c:pt idx="3">
                  <c:v>7.8646971110807137E-2</c:v>
                </c:pt>
                <c:pt idx="4">
                  <c:v>6.8155254864411347E-2</c:v>
                </c:pt>
                <c:pt idx="5">
                  <c:v>3.9101646457820098E-2</c:v>
                </c:pt>
                <c:pt idx="6">
                  <c:v>4.0741738931407298E-2</c:v>
                </c:pt>
              </c:numCache>
            </c:numRef>
          </c:val>
        </c:ser>
        <c:ser>
          <c:idx val="3"/>
          <c:order val="3"/>
          <c:tx>
            <c:strRef>
              <c:f>'AusAID Exp by mode of delivery'!$K$22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cat>
            <c:strRef>
              <c:f>'AusAID Exp by mode of delivery'!$L$15:$R$15</c:f>
              <c:strCache>
                <c:ptCount val="7"/>
                <c:pt idx="0">
                  <c:v>Multilateral Organisations</c:v>
                </c:pt>
                <c:pt idx="1">
                  <c:v>Private Contractors</c:v>
                </c:pt>
                <c:pt idx="2">
                  <c:v>NGOs</c:v>
                </c:pt>
                <c:pt idx="3">
                  <c:v>Universities </c:v>
                </c:pt>
                <c:pt idx="4">
                  <c:v>Partner Governments</c:v>
                </c:pt>
                <c:pt idx="5">
                  <c:v>Australian Public Sector</c:v>
                </c:pt>
                <c:pt idx="6">
                  <c:v>Other Partners</c:v>
                </c:pt>
              </c:strCache>
            </c:strRef>
          </c:cat>
          <c:val>
            <c:numRef>
              <c:f>'AusAID Exp by mode of delivery'!$L$22:$R$22</c:f>
              <c:numCache>
                <c:formatCode>0%</c:formatCode>
                <c:ptCount val="7"/>
                <c:pt idx="0">
                  <c:v>0.41769431663208972</c:v>
                </c:pt>
                <c:pt idx="1">
                  <c:v>0.17077799090568413</c:v>
                </c:pt>
                <c:pt idx="2">
                  <c:v>0.13661539041040321</c:v>
                </c:pt>
                <c:pt idx="3">
                  <c:v>7.6559922424017643E-2</c:v>
                </c:pt>
                <c:pt idx="4">
                  <c:v>8.9896916277434583E-2</c:v>
                </c:pt>
                <c:pt idx="5">
                  <c:v>4.9414123619336815E-2</c:v>
                </c:pt>
                <c:pt idx="6">
                  <c:v>5.9040856812817039E-2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95968"/>
        <c:axId val="94975104"/>
      </c:barChart>
      <c:catAx>
        <c:axId val="89795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975104"/>
        <c:crosses val="autoZero"/>
        <c:auto val="1"/>
        <c:lblAlgn val="ctr"/>
        <c:lblOffset val="100"/>
        <c:noMultiLvlLbl val="0"/>
      </c:catAx>
      <c:valAx>
        <c:axId val="949751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979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090798501815305"/>
          <c:y val="0.12533863852682342"/>
          <c:w val="6.5959461574822936E-2"/>
          <c:h val="0.197634951970988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Volume of AusAID expenditure</a:t>
            </a:r>
            <a:r>
              <a:rPr lang="en-AU" sz="1400" baseline="0"/>
              <a:t> by mode of delivery</a:t>
            </a:r>
          </a:p>
          <a:p>
            <a:pPr>
              <a:defRPr sz="1400"/>
            </a:pPr>
            <a:r>
              <a:rPr lang="en-AU" sz="1400" b="0" baseline="0"/>
              <a:t>Constant 2011-12 A$ million</a:t>
            </a:r>
            <a:endParaRPr lang="en-AU" sz="14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2572682116818962E-2"/>
          <c:y val="0.12277137312602548"/>
          <c:w val="0.9076968288347731"/>
          <c:h val="0.74251670109716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'AusAID Exp by mode of delivery'!$A$26</c:f>
              <c:strCache>
                <c:ptCount val="1"/>
                <c:pt idx="0">
                  <c:v>2005-06</c:v>
                </c:pt>
              </c:strCache>
            </c:strRef>
          </c:tx>
          <c:invertIfNegative val="0"/>
          <c:cat>
            <c:strRef>
              <c:f>'AusAID Exp by mode of delivery'!$B$25:$H$25</c:f>
              <c:strCache>
                <c:ptCount val="7"/>
                <c:pt idx="0">
                  <c:v>Multilateral organisations</c:v>
                </c:pt>
                <c:pt idx="1">
                  <c:v>Commercial suppliers</c:v>
                </c:pt>
                <c:pt idx="2">
                  <c:v>Non-government organisations</c:v>
                </c:pt>
                <c:pt idx="3">
                  <c:v>Universities and academic institutions</c:v>
                </c:pt>
                <c:pt idx="4">
                  <c:v>Developing country governments</c:v>
                </c:pt>
                <c:pt idx="5">
                  <c:v>Australian public sector organisations</c:v>
                </c:pt>
                <c:pt idx="6">
                  <c:v>Other partners</c:v>
                </c:pt>
              </c:strCache>
            </c:strRef>
          </c:cat>
          <c:val>
            <c:numRef>
              <c:f>'AusAID Exp by mode of delivery'!$B$26:$H$26</c:f>
              <c:numCache>
                <c:formatCode>_(* #,##0.00_);_(* \(#,##0.00\);_(* "-"??_);_(@_)</c:formatCode>
                <c:ptCount val="7"/>
                <c:pt idx="0">
                  <c:v>718.86437577255992</c:v>
                </c:pt>
                <c:pt idx="1">
                  <c:v>921.04498145859236</c:v>
                </c:pt>
                <c:pt idx="2">
                  <c:v>179.71609394313998</c:v>
                </c:pt>
                <c:pt idx="3">
                  <c:v>67.393535228677493</c:v>
                </c:pt>
                <c:pt idx="4">
                  <c:v>44.929023485784995</c:v>
                </c:pt>
                <c:pt idx="5">
                  <c:v>89.858046971569991</c:v>
                </c:pt>
                <c:pt idx="6">
                  <c:v>224.64511742892492</c:v>
                </c:pt>
              </c:numCache>
            </c:numRef>
          </c:val>
        </c:ser>
        <c:ser>
          <c:idx val="1"/>
          <c:order val="1"/>
          <c:tx>
            <c:strRef>
              <c:f>'AusAID Exp by mode of delivery'!$A$27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cat>
            <c:strRef>
              <c:f>'AusAID Exp by mode of delivery'!$B$25:$H$25</c:f>
              <c:strCache>
                <c:ptCount val="7"/>
                <c:pt idx="0">
                  <c:v>Multilateral organisations</c:v>
                </c:pt>
                <c:pt idx="1">
                  <c:v>Commercial suppliers</c:v>
                </c:pt>
                <c:pt idx="2">
                  <c:v>Non-government organisations</c:v>
                </c:pt>
                <c:pt idx="3">
                  <c:v>Universities and academic institutions</c:v>
                </c:pt>
                <c:pt idx="4">
                  <c:v>Developing country governments</c:v>
                </c:pt>
                <c:pt idx="5">
                  <c:v>Australian public sector organisations</c:v>
                </c:pt>
                <c:pt idx="6">
                  <c:v>Other partners</c:v>
                </c:pt>
              </c:strCache>
            </c:strRef>
          </c:cat>
          <c:val>
            <c:numRef>
              <c:f>'AusAID Exp by mode of delivery'!$B$27:$H$27</c:f>
              <c:numCache>
                <c:formatCode>_(* #,##0.00_);_(* \(#,##0.00\);_(* "-"??_);_(@_)</c:formatCode>
                <c:ptCount val="7"/>
                <c:pt idx="0">
                  <c:v>1059.3852575602493</c:v>
                </c:pt>
                <c:pt idx="1">
                  <c:v>789.047484623542</c:v>
                </c:pt>
                <c:pt idx="2">
                  <c:v>453.13011983032885</c:v>
                </c:pt>
                <c:pt idx="3">
                  <c:v>136.10867974549316</c:v>
                </c:pt>
                <c:pt idx="4">
                  <c:v>282.46824496288451</c:v>
                </c:pt>
                <c:pt idx="5">
                  <c:v>152.25449840933194</c:v>
                </c:pt>
                <c:pt idx="6">
                  <c:v>339.28651431601281</c:v>
                </c:pt>
              </c:numCache>
            </c:numRef>
          </c:val>
        </c:ser>
        <c:ser>
          <c:idx val="2"/>
          <c:order val="2"/>
          <c:tx>
            <c:strRef>
              <c:f>'AusAID Exp by mode of delivery'!$A$28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cat>
            <c:strRef>
              <c:f>'AusAID Exp by mode of delivery'!$B$25:$H$25</c:f>
              <c:strCache>
                <c:ptCount val="7"/>
                <c:pt idx="0">
                  <c:v>Multilateral organisations</c:v>
                </c:pt>
                <c:pt idx="1">
                  <c:v>Commercial suppliers</c:v>
                </c:pt>
                <c:pt idx="2">
                  <c:v>Non-government organisations</c:v>
                </c:pt>
                <c:pt idx="3">
                  <c:v>Universities and academic institutions</c:v>
                </c:pt>
                <c:pt idx="4">
                  <c:v>Developing country governments</c:v>
                </c:pt>
                <c:pt idx="5">
                  <c:v>Australian public sector organisations</c:v>
                </c:pt>
                <c:pt idx="6">
                  <c:v>Other partners</c:v>
                </c:pt>
              </c:strCache>
            </c:strRef>
          </c:cat>
          <c:val>
            <c:numRef>
              <c:f>'AusAID Exp by mode of delivery'!$B$28:$H$28</c:f>
              <c:numCache>
                <c:formatCode>_(* #,##0.00_);_(* \(#,##0.00\);_(* "-"??_);_(@_)</c:formatCode>
                <c:ptCount val="7"/>
                <c:pt idx="0">
                  <c:v>1419.3363701854744</c:v>
                </c:pt>
                <c:pt idx="1">
                  <c:v>679.77703800000006</c:v>
                </c:pt>
                <c:pt idx="2">
                  <c:v>509.6603970000001</c:v>
                </c:pt>
                <c:pt idx="3">
                  <c:v>295.29001800000003</c:v>
                </c:pt>
                <c:pt idx="4">
                  <c:v>255.89754000000005</c:v>
                </c:pt>
                <c:pt idx="5">
                  <c:v>146.81208600000002</c:v>
                </c:pt>
                <c:pt idx="6">
                  <c:v>152.97002100000003</c:v>
                </c:pt>
              </c:numCache>
            </c:numRef>
          </c:val>
        </c:ser>
        <c:ser>
          <c:idx val="3"/>
          <c:order val="3"/>
          <c:tx>
            <c:strRef>
              <c:f>'AusAID Exp by mode of delivery'!$A$29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cat>
            <c:strRef>
              <c:f>'AusAID Exp by mode of delivery'!$B$25:$H$25</c:f>
              <c:strCache>
                <c:ptCount val="7"/>
                <c:pt idx="0">
                  <c:v>Multilateral organisations</c:v>
                </c:pt>
                <c:pt idx="1">
                  <c:v>Commercial suppliers</c:v>
                </c:pt>
                <c:pt idx="2">
                  <c:v>Non-government organisations</c:v>
                </c:pt>
                <c:pt idx="3">
                  <c:v>Universities and academic institutions</c:v>
                </c:pt>
                <c:pt idx="4">
                  <c:v>Developing country governments</c:v>
                </c:pt>
                <c:pt idx="5">
                  <c:v>Australian public sector organisations</c:v>
                </c:pt>
                <c:pt idx="6">
                  <c:v>Other partners</c:v>
                </c:pt>
              </c:strCache>
            </c:strRef>
          </c:cat>
          <c:val>
            <c:numRef>
              <c:f>'AusAID Exp by mode of delivery'!$B$29:$H$29</c:f>
              <c:numCache>
                <c:formatCode>_(* #,##0.00_);_(* \(#,##0.00\);_(* "-"??_);_(@_)</c:formatCode>
                <c:ptCount val="7"/>
                <c:pt idx="0">
                  <c:v>1554.2827569317312</c:v>
                </c:pt>
                <c:pt idx="1">
                  <c:v>707.27499999999998</c:v>
                </c:pt>
                <c:pt idx="2">
                  <c:v>565.79100000000005</c:v>
                </c:pt>
                <c:pt idx="3">
                  <c:v>317.072</c:v>
                </c:pt>
                <c:pt idx="4">
                  <c:v>372.30700000000002</c:v>
                </c:pt>
                <c:pt idx="5">
                  <c:v>204.648</c:v>
                </c:pt>
                <c:pt idx="6">
                  <c:v>244.517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62080"/>
        <c:axId val="44863872"/>
      </c:barChart>
      <c:catAx>
        <c:axId val="4486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44863872"/>
        <c:crosses val="autoZero"/>
        <c:auto val="1"/>
        <c:lblAlgn val="ctr"/>
        <c:lblOffset val="100"/>
        <c:noMultiLvlLbl val="0"/>
      </c:catAx>
      <c:valAx>
        <c:axId val="4486387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crossAx val="44862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566903466709622"/>
          <c:y val="0.12502506424488694"/>
          <c:w val="9.2200217940537427E-2"/>
          <c:h val="0.2269586407255216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'Composition of Australian ODA'!$A$40</c:f>
              <c:strCache>
                <c:ptCount val="1"/>
                <c:pt idx="0">
                  <c:v>Share of ODA appropriated to Departments other than AusAID</c:v>
                </c:pt>
              </c:strCache>
            </c:strRef>
          </c:tx>
          <c:invertIfNegative val="0"/>
          <c:dPt>
            <c:idx val="13"/>
            <c:invertIfNegative val="0"/>
            <c:bubble3D val="0"/>
            <c:spPr>
              <a:pattFill prst="dkUpDiag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accent2"/>
                </a:solidFill>
              </a:ln>
            </c:spPr>
          </c:dPt>
          <c:cat>
            <c:strRef>
              <c:f>'Composition of Australian ODA'!$B$35:$O$35</c:f>
              <c:strCache>
                <c:ptCount val="14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  <c:pt idx="13">
                  <c:v>2013-14</c:v>
                </c:pt>
              </c:strCache>
            </c:strRef>
          </c:cat>
          <c:val>
            <c:numRef>
              <c:f>'Composition of Australian ODA'!$B$40:$O$40</c:f>
              <c:numCache>
                <c:formatCode>0.00%</c:formatCode>
                <c:ptCount val="14"/>
                <c:pt idx="0">
                  <c:v>0.1208723509117792</c:v>
                </c:pt>
                <c:pt idx="1">
                  <c:v>0.14448495897903374</c:v>
                </c:pt>
                <c:pt idx="2">
                  <c:v>0.14502649259845962</c:v>
                </c:pt>
                <c:pt idx="3">
                  <c:v>0.16315255955397875</c:v>
                </c:pt>
                <c:pt idx="4">
                  <c:v>0.23068874533709402</c:v>
                </c:pt>
                <c:pt idx="5">
                  <c:v>0.29106275716350966</c:v>
                </c:pt>
                <c:pt idx="6">
                  <c:v>0.27584493041749508</c:v>
                </c:pt>
                <c:pt idx="7">
                  <c:v>0.14781320897403577</c:v>
                </c:pt>
                <c:pt idx="8">
                  <c:v>0.18899855244111066</c:v>
                </c:pt>
                <c:pt idx="9">
                  <c:v>0.13495145631067962</c:v>
                </c:pt>
                <c:pt idx="10">
                  <c:v>0.11113419194017449</c:v>
                </c:pt>
                <c:pt idx="11">
                  <c:v>0.10490756859819282</c:v>
                </c:pt>
                <c:pt idx="12">
                  <c:v>0.16210546761192576</c:v>
                </c:pt>
                <c:pt idx="13">
                  <c:v>0.14127135394606805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18208"/>
        <c:axId val="45119744"/>
      </c:barChart>
      <c:catAx>
        <c:axId val="4511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45119744"/>
        <c:crosses val="autoZero"/>
        <c:auto val="1"/>
        <c:lblAlgn val="ctr"/>
        <c:lblOffset val="100"/>
        <c:noMultiLvlLbl val="0"/>
      </c:catAx>
      <c:valAx>
        <c:axId val="451197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511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 International and Regional Multilateral Organisations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'Breakdown of multilaterals'!$S$1</c:f>
              <c:strCache>
                <c:ptCount val="1"/>
                <c:pt idx="0">
                  <c:v>2005-06</c:v>
                </c:pt>
              </c:strCache>
            </c:strRef>
          </c:tx>
          <c:invertIfNegative val="0"/>
          <c:cat>
            <c:strRef>
              <c:f>'Breakdown of multilaterals'!$A$2:$A$9</c:f>
              <c:strCache>
                <c:ptCount val="8"/>
                <c:pt idx="0">
                  <c:v>World Bank group</c:v>
                </c:pt>
                <c:pt idx="1">
                  <c:v>Asian Development Bank </c:v>
                </c:pt>
                <c:pt idx="2">
                  <c:v>International Monetary Fund </c:v>
                </c:pt>
                <c:pt idx="3">
                  <c:v>United Nations </c:v>
                </c:pt>
                <c:pt idx="4">
                  <c:v>Commonwealth organisations </c:v>
                </c:pt>
                <c:pt idx="5">
                  <c:v>Global and multi-regional organisations</c:v>
                </c:pt>
                <c:pt idx="6">
                  <c:v>Asian regional organisations</c:v>
                </c:pt>
                <c:pt idx="7">
                  <c:v>Pacific regional organisations </c:v>
                </c:pt>
              </c:strCache>
            </c:strRef>
          </c:cat>
          <c:val>
            <c:numRef>
              <c:f>'Breakdown of multilaterals'!$S$2:$S$9</c:f>
              <c:numCache>
                <c:formatCode>0%</c:formatCode>
                <c:ptCount val="8"/>
                <c:pt idx="0">
                  <c:v>0.26917842861145375</c:v>
                </c:pt>
                <c:pt idx="1">
                  <c:v>0.20851481113573267</c:v>
                </c:pt>
                <c:pt idx="2">
                  <c:v>4.140786749482402E-3</c:v>
                </c:pt>
                <c:pt idx="3">
                  <c:v>0.43221917788281355</c:v>
                </c:pt>
                <c:pt idx="4">
                  <c:v>7.3682716763636758E-4</c:v>
                </c:pt>
                <c:pt idx="5">
                  <c:v>5.8587766121960358E-2</c:v>
                </c:pt>
                <c:pt idx="6">
                  <c:v>3.4094175608655629E-3</c:v>
                </c:pt>
                <c:pt idx="7">
                  <c:v>2.3212784770055343E-2</c:v>
                </c:pt>
              </c:numCache>
            </c:numRef>
          </c:val>
        </c:ser>
        <c:ser>
          <c:idx val="1"/>
          <c:order val="1"/>
          <c:tx>
            <c:strRef>
              <c:f>'Breakdown of multilaterals'!$W$1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cat>
            <c:strRef>
              <c:f>'Breakdown of multilaterals'!$A$2:$A$9</c:f>
              <c:strCache>
                <c:ptCount val="8"/>
                <c:pt idx="0">
                  <c:v>World Bank group</c:v>
                </c:pt>
                <c:pt idx="1">
                  <c:v>Asian Development Bank </c:v>
                </c:pt>
                <c:pt idx="2">
                  <c:v>International Monetary Fund </c:v>
                </c:pt>
                <c:pt idx="3">
                  <c:v>United Nations </c:v>
                </c:pt>
                <c:pt idx="4">
                  <c:v>Commonwealth organisations </c:v>
                </c:pt>
                <c:pt idx="5">
                  <c:v>Global and multi-regional organisations</c:v>
                </c:pt>
                <c:pt idx="6">
                  <c:v>Asian regional organisations</c:v>
                </c:pt>
                <c:pt idx="7">
                  <c:v>Pacific regional organisations </c:v>
                </c:pt>
              </c:strCache>
            </c:strRef>
          </c:cat>
          <c:val>
            <c:numRef>
              <c:f>'Breakdown of multilaterals'!$W$2:$W$9</c:f>
              <c:numCache>
                <c:formatCode>0%</c:formatCode>
                <c:ptCount val="8"/>
                <c:pt idx="0">
                  <c:v>0.38034735278874598</c:v>
                </c:pt>
                <c:pt idx="1">
                  <c:v>0.10196312659342804</c:v>
                </c:pt>
                <c:pt idx="2">
                  <c:v>4.4730251175776562E-3</c:v>
                </c:pt>
                <c:pt idx="3">
                  <c:v>0.35646384666215802</c:v>
                </c:pt>
                <c:pt idx="4">
                  <c:v>8.955346442535107E-3</c:v>
                </c:pt>
                <c:pt idx="5">
                  <c:v>7.3186716649275008E-2</c:v>
                </c:pt>
                <c:pt idx="6">
                  <c:v>8.1109409388704645E-3</c:v>
                </c:pt>
                <c:pt idx="7">
                  <c:v>5.6954763880205976E-2</c:v>
                </c:pt>
              </c:numCache>
            </c:numRef>
          </c:val>
        </c:ser>
        <c:ser>
          <c:idx val="2"/>
          <c:order val="2"/>
          <c:tx>
            <c:strRef>
              <c:f>'Breakdown of multilaterals'!$X$1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cat>
            <c:strRef>
              <c:f>'Breakdown of multilaterals'!$A$2:$A$9</c:f>
              <c:strCache>
                <c:ptCount val="8"/>
                <c:pt idx="0">
                  <c:v>World Bank group</c:v>
                </c:pt>
                <c:pt idx="1">
                  <c:v>Asian Development Bank </c:v>
                </c:pt>
                <c:pt idx="2">
                  <c:v>International Monetary Fund </c:v>
                </c:pt>
                <c:pt idx="3">
                  <c:v>United Nations </c:v>
                </c:pt>
                <c:pt idx="4">
                  <c:v>Commonwealth organisations </c:v>
                </c:pt>
                <c:pt idx="5">
                  <c:v>Global and multi-regional organisations</c:v>
                </c:pt>
                <c:pt idx="6">
                  <c:v>Asian regional organisations</c:v>
                </c:pt>
                <c:pt idx="7">
                  <c:v>Pacific regional organisations </c:v>
                </c:pt>
              </c:strCache>
            </c:strRef>
          </c:cat>
          <c:val>
            <c:numRef>
              <c:f>'Breakdown of multilaterals'!$X$2:$X$9</c:f>
              <c:numCache>
                <c:formatCode>0%</c:formatCode>
                <c:ptCount val="8"/>
                <c:pt idx="0">
                  <c:v>0.39638403317876364</c:v>
                </c:pt>
                <c:pt idx="1">
                  <c:v>9.5840841030275847E-2</c:v>
                </c:pt>
                <c:pt idx="2">
                  <c:v>9.7163266172181351E-3</c:v>
                </c:pt>
                <c:pt idx="3">
                  <c:v>0.36605370215957878</c:v>
                </c:pt>
                <c:pt idx="4">
                  <c:v>6.3208022177287547E-3</c:v>
                </c:pt>
                <c:pt idx="5">
                  <c:v>6.5225494705138193E-2</c:v>
                </c:pt>
                <c:pt idx="6">
                  <c:v>5.7748574063263072E-3</c:v>
                </c:pt>
                <c:pt idx="7">
                  <c:v>4.1090375658201846E-2</c:v>
                </c:pt>
              </c:numCache>
            </c:numRef>
          </c:val>
        </c:ser>
        <c:ser>
          <c:idx val="3"/>
          <c:order val="3"/>
          <c:tx>
            <c:strRef>
              <c:f>'Breakdown of multilaterals'!$Y$1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cat>
            <c:strRef>
              <c:f>'Breakdown of multilaterals'!$A$2:$A$9</c:f>
              <c:strCache>
                <c:ptCount val="8"/>
                <c:pt idx="0">
                  <c:v>World Bank group</c:v>
                </c:pt>
                <c:pt idx="1">
                  <c:v>Asian Development Bank </c:v>
                </c:pt>
                <c:pt idx="2">
                  <c:v>International Monetary Fund </c:v>
                </c:pt>
                <c:pt idx="3">
                  <c:v>United Nations </c:v>
                </c:pt>
                <c:pt idx="4">
                  <c:v>Commonwealth organisations </c:v>
                </c:pt>
                <c:pt idx="5">
                  <c:v>Global and multi-regional organisations</c:v>
                </c:pt>
                <c:pt idx="6">
                  <c:v>Asian regional organisations</c:v>
                </c:pt>
                <c:pt idx="7">
                  <c:v>Pacific regional organisations </c:v>
                </c:pt>
              </c:strCache>
            </c:strRef>
          </c:cat>
          <c:val>
            <c:numRef>
              <c:f>'Breakdown of multilaterals'!$Y$2:$Y$9</c:f>
              <c:numCache>
                <c:formatCode>0%</c:formatCode>
                <c:ptCount val="8"/>
                <c:pt idx="0">
                  <c:v>0.42417665172904662</c:v>
                </c:pt>
                <c:pt idx="1">
                  <c:v>9.1341485528845537E-2</c:v>
                </c:pt>
                <c:pt idx="2">
                  <c:v>3.8407854145536156E-3</c:v>
                </c:pt>
                <c:pt idx="3">
                  <c:v>0.35180396578007705</c:v>
                </c:pt>
                <c:pt idx="4">
                  <c:v>7.3072522967907866E-3</c:v>
                </c:pt>
                <c:pt idx="5">
                  <c:v>6.0327947397987108E-2</c:v>
                </c:pt>
                <c:pt idx="6">
                  <c:v>6.4981697210134658E-3</c:v>
                </c:pt>
                <c:pt idx="7">
                  <c:v>3.7963108274546839E-2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82048"/>
        <c:axId val="45283584"/>
      </c:barChart>
      <c:catAx>
        <c:axId val="4528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45283584"/>
        <c:crosses val="autoZero"/>
        <c:auto val="1"/>
        <c:lblAlgn val="ctr"/>
        <c:lblOffset val="100"/>
        <c:noMultiLvlLbl val="0"/>
      </c:catAx>
      <c:valAx>
        <c:axId val="45283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5282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AusAID</a:t>
            </a:r>
            <a:r>
              <a:rPr lang="en-US" baseline="0"/>
              <a:t> multilateral funding by organisation</a:t>
            </a:r>
          </a:p>
          <a:p>
            <a:pPr>
              <a:defRPr/>
            </a:pPr>
            <a:r>
              <a:rPr lang="en-US" baseline="0"/>
              <a:t>(absolute amounts)</a:t>
            </a:r>
            <a:endParaRPr lang="en-US"/>
          </a:p>
        </c:rich>
      </c:tx>
      <c:layout>
        <c:manualLayout>
          <c:xMode val="edge"/>
          <c:yMode val="edge"/>
          <c:x val="0.19709292623886099"/>
          <c:y val="3.165973378175179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'Breakdown of multilaterals'!$L$1</c:f>
              <c:strCache>
                <c:ptCount val="1"/>
                <c:pt idx="0">
                  <c:v>2002-03-2004-05</c:v>
                </c:pt>
              </c:strCache>
            </c:strRef>
          </c:tx>
          <c:invertIfNegative val="0"/>
          <c:cat>
            <c:strRef>
              <c:f>'Breakdown of multilaterals'!$A$2:$A$9</c:f>
              <c:strCache>
                <c:ptCount val="8"/>
                <c:pt idx="0">
                  <c:v>World Bank group</c:v>
                </c:pt>
                <c:pt idx="1">
                  <c:v>Asian Development Bank </c:v>
                </c:pt>
                <c:pt idx="2">
                  <c:v>International Monetary Fund </c:v>
                </c:pt>
                <c:pt idx="3">
                  <c:v>United Nations </c:v>
                </c:pt>
                <c:pt idx="4">
                  <c:v>Commonwealth organisations </c:v>
                </c:pt>
                <c:pt idx="5">
                  <c:v>Global and multi-regional organisations</c:v>
                </c:pt>
                <c:pt idx="6">
                  <c:v>Asian regional organisations</c:v>
                </c:pt>
                <c:pt idx="7">
                  <c:v>Pacific regional organisations </c:v>
                </c:pt>
              </c:strCache>
            </c:strRef>
          </c:cat>
          <c:val>
            <c:numRef>
              <c:f>'Breakdown of multilaterals'!$L$2:$L$9</c:f>
              <c:numCache>
                <c:formatCode>General</c:formatCode>
                <c:ptCount val="8"/>
                <c:pt idx="0">
                  <c:v>291164.33333333331</c:v>
                </c:pt>
                <c:pt idx="1">
                  <c:v>79118.666666666672</c:v>
                </c:pt>
                <c:pt idx="2">
                  <c:v>2833.3333333333335</c:v>
                </c:pt>
                <c:pt idx="3">
                  <c:v>215667.33333333334</c:v>
                </c:pt>
                <c:pt idx="4">
                  <c:v>12126.333333333334</c:v>
                </c:pt>
                <c:pt idx="5">
                  <c:v>60883</c:v>
                </c:pt>
                <c:pt idx="6">
                  <c:v>0</c:v>
                </c:pt>
                <c:pt idx="7">
                  <c:v>10575.333333333334</c:v>
                </c:pt>
              </c:numCache>
            </c:numRef>
          </c:val>
        </c:ser>
        <c:ser>
          <c:idx val="1"/>
          <c:order val="1"/>
          <c:tx>
            <c:strRef>
              <c:f>'Breakdown of multilaterals'!$M$1</c:f>
              <c:strCache>
                <c:ptCount val="1"/>
                <c:pt idx="0">
                  <c:v>2009-10-2011-12</c:v>
                </c:pt>
              </c:strCache>
            </c:strRef>
          </c:tx>
          <c:invertIfNegative val="0"/>
          <c:cat>
            <c:strRef>
              <c:f>'Breakdown of multilaterals'!$A$2:$A$9</c:f>
              <c:strCache>
                <c:ptCount val="8"/>
                <c:pt idx="0">
                  <c:v>World Bank group</c:v>
                </c:pt>
                <c:pt idx="1">
                  <c:v>Asian Development Bank </c:v>
                </c:pt>
                <c:pt idx="2">
                  <c:v>International Monetary Fund </c:v>
                </c:pt>
                <c:pt idx="3">
                  <c:v>United Nations </c:v>
                </c:pt>
                <c:pt idx="4">
                  <c:v>Commonwealth organisations </c:v>
                </c:pt>
                <c:pt idx="5">
                  <c:v>Global and multi-regional organisations</c:v>
                </c:pt>
                <c:pt idx="6">
                  <c:v>Asian regional organisations</c:v>
                </c:pt>
                <c:pt idx="7">
                  <c:v>Pacific regional organisations </c:v>
                </c:pt>
              </c:strCache>
            </c:strRef>
          </c:cat>
          <c:val>
            <c:numRef>
              <c:f>'Breakdown of multilaterals'!$M$2:$M$9</c:f>
              <c:numCache>
                <c:formatCode>General</c:formatCode>
                <c:ptCount val="8"/>
                <c:pt idx="0">
                  <c:v>649026.66666666663</c:v>
                </c:pt>
                <c:pt idx="1">
                  <c:v>154485.66666666666</c:v>
                </c:pt>
                <c:pt idx="2">
                  <c:v>9881</c:v>
                </c:pt>
                <c:pt idx="3">
                  <c:v>577617.66666666663</c:v>
                </c:pt>
                <c:pt idx="4">
                  <c:v>11919.666666666666</c:v>
                </c:pt>
                <c:pt idx="5">
                  <c:v>105666.33333333333</c:v>
                </c:pt>
                <c:pt idx="6">
                  <c:v>10752.666666666666</c:v>
                </c:pt>
                <c:pt idx="7">
                  <c:v>71210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2176"/>
        <c:axId val="45372160"/>
      </c:barChart>
      <c:catAx>
        <c:axId val="4536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45372160"/>
        <c:crosses val="autoZero"/>
        <c:auto val="1"/>
        <c:lblAlgn val="ctr"/>
        <c:lblOffset val="100"/>
        <c:noMultiLvlLbl val="0"/>
      </c:catAx>
      <c:valAx>
        <c:axId val="4537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62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AusAID</a:t>
            </a:r>
            <a:r>
              <a:rPr lang="en-US" baseline="0"/>
              <a:t> multilateral funding by organisation</a:t>
            </a:r>
          </a:p>
          <a:p>
            <a:pPr>
              <a:defRPr/>
            </a:pPr>
            <a:r>
              <a:rPr lang="en-US" baseline="0"/>
              <a:t>(% of total multilateral funding)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'Breakdown of multilaterals'!$Z$1</c:f>
              <c:strCache>
                <c:ptCount val="1"/>
                <c:pt idx="0">
                  <c:v>2002-03-2004-05</c:v>
                </c:pt>
              </c:strCache>
            </c:strRef>
          </c:tx>
          <c:invertIfNegative val="0"/>
          <c:cat>
            <c:strRef>
              <c:f>'Breakdown of multilaterals'!$A$2:$A$9</c:f>
              <c:strCache>
                <c:ptCount val="8"/>
                <c:pt idx="0">
                  <c:v>World Bank group</c:v>
                </c:pt>
                <c:pt idx="1">
                  <c:v>Asian Development Bank </c:v>
                </c:pt>
                <c:pt idx="2">
                  <c:v>International Monetary Fund </c:v>
                </c:pt>
                <c:pt idx="3">
                  <c:v>United Nations </c:v>
                </c:pt>
                <c:pt idx="4">
                  <c:v>Commonwealth organisations </c:v>
                </c:pt>
                <c:pt idx="5">
                  <c:v>Global and multi-regional organisations</c:v>
                </c:pt>
                <c:pt idx="6">
                  <c:v>Asian regional organisations</c:v>
                </c:pt>
                <c:pt idx="7">
                  <c:v>Pacific regional organisations </c:v>
                </c:pt>
              </c:strCache>
            </c:strRef>
          </c:cat>
          <c:val>
            <c:numRef>
              <c:f>'Breakdown of multilaterals'!$Z$2:$Z$9</c:f>
              <c:numCache>
                <c:formatCode>0%</c:formatCode>
                <c:ptCount val="8"/>
                <c:pt idx="0">
                  <c:v>0.4309006858454773</c:v>
                </c:pt>
                <c:pt idx="1">
                  <c:v>0.11708950522733338</c:v>
                </c:pt>
                <c:pt idx="2">
                  <c:v>4.1931141173272794E-3</c:v>
                </c:pt>
                <c:pt idx="3">
                  <c:v>0.31917096707517467</c:v>
                </c:pt>
                <c:pt idx="4">
                  <c:v>1.7946035114617544E-2</c:v>
                </c:pt>
                <c:pt idx="5">
                  <c:v>9.0102129460671795E-2</c:v>
                </c:pt>
                <c:pt idx="6">
                  <c:v>0</c:v>
                </c:pt>
                <c:pt idx="7">
                  <c:v>1.5650675116038269E-2</c:v>
                </c:pt>
              </c:numCache>
            </c:numRef>
          </c:val>
        </c:ser>
        <c:ser>
          <c:idx val="1"/>
          <c:order val="1"/>
          <c:tx>
            <c:strRef>
              <c:f>'Breakdown of multilaterals'!$AA$1</c:f>
              <c:strCache>
                <c:ptCount val="1"/>
                <c:pt idx="0">
                  <c:v>2009-10-2011-12</c:v>
                </c:pt>
              </c:strCache>
            </c:strRef>
          </c:tx>
          <c:invertIfNegative val="0"/>
          <c:cat>
            <c:strRef>
              <c:f>'Breakdown of multilaterals'!$A$2:$A$9</c:f>
              <c:strCache>
                <c:ptCount val="8"/>
                <c:pt idx="0">
                  <c:v>World Bank group</c:v>
                </c:pt>
                <c:pt idx="1">
                  <c:v>Asian Development Bank </c:v>
                </c:pt>
                <c:pt idx="2">
                  <c:v>International Monetary Fund </c:v>
                </c:pt>
                <c:pt idx="3">
                  <c:v>United Nations </c:v>
                </c:pt>
                <c:pt idx="4">
                  <c:v>Commonwealth organisations </c:v>
                </c:pt>
                <c:pt idx="5">
                  <c:v>Global and multi-regional organisations</c:v>
                </c:pt>
                <c:pt idx="6">
                  <c:v>Asian regional organisations</c:v>
                </c:pt>
                <c:pt idx="7">
                  <c:v>Pacific regional organisations </c:v>
                </c:pt>
              </c:strCache>
            </c:strRef>
          </c:cat>
          <c:val>
            <c:numRef>
              <c:f>'Breakdown of multilaterals'!$AA$2:$AA$9</c:f>
              <c:numCache>
                <c:formatCode>0%</c:formatCode>
                <c:ptCount val="8"/>
                <c:pt idx="0">
                  <c:v>0.40246454447515567</c:v>
                </c:pt>
                <c:pt idx="1">
                  <c:v>9.5797301800040174E-2</c:v>
                </c:pt>
                <c:pt idx="2">
                  <c:v>6.1272554244699963E-3</c:v>
                </c:pt>
                <c:pt idx="3">
                  <c:v>0.35818348156593816</c:v>
                </c:pt>
                <c:pt idx="4">
                  <c:v>7.3914423885444317E-3</c:v>
                </c:pt>
                <c:pt idx="5">
                  <c:v>6.5524199382706344E-2</c:v>
                </c:pt>
                <c:pt idx="6">
                  <c:v>6.6677800992663737E-3</c:v>
                </c:pt>
                <c:pt idx="7">
                  <c:v>4.4157662056118652E-2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01600"/>
        <c:axId val="45403136"/>
      </c:barChart>
      <c:catAx>
        <c:axId val="4540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45403136"/>
        <c:crosses val="autoZero"/>
        <c:auto val="1"/>
        <c:lblAlgn val="ctr"/>
        <c:lblOffset val="100"/>
        <c:noMultiLvlLbl val="0"/>
      </c:catAx>
      <c:valAx>
        <c:axId val="45403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540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21166</xdr:colOff>
      <xdr:row>29</xdr:row>
      <xdr:rowOff>177976</xdr:rowOff>
    </xdr:from>
    <xdr:to>
      <xdr:col>22</xdr:col>
      <xdr:colOff>64559</xdr:colOff>
      <xdr:row>54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317499</xdr:colOff>
      <xdr:row>29</xdr:row>
      <xdr:rowOff>184149</xdr:rowOff>
    </xdr:from>
    <xdr:to>
      <xdr:col>9</xdr:col>
      <xdr:colOff>645583</xdr:colOff>
      <xdr:row>54</xdr:row>
      <xdr:rowOff>84666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154781</xdr:colOff>
      <xdr:row>47</xdr:row>
      <xdr:rowOff>63103</xdr:rowOff>
    </xdr:from>
    <xdr:to>
      <xdr:col>13</xdr:col>
      <xdr:colOff>301625</xdr:colOff>
      <xdr:row>74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878416</xdr:colOff>
      <xdr:row>14</xdr:row>
      <xdr:rowOff>10584</xdr:rowOff>
    </xdr:from>
    <xdr:to>
      <xdr:col>9</xdr:col>
      <xdr:colOff>437445</xdr:colOff>
      <xdr:row>37</xdr:row>
      <xdr:rowOff>56445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634999</xdr:colOff>
      <xdr:row>13</xdr:row>
      <xdr:rowOff>131232</xdr:rowOff>
    </xdr:from>
    <xdr:to>
      <xdr:col>20</xdr:col>
      <xdr:colOff>620888</xdr:colOff>
      <xdr:row>37</xdr:row>
      <xdr:rowOff>141111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620889</xdr:colOff>
      <xdr:row>40</xdr:row>
      <xdr:rowOff>18344</xdr:rowOff>
    </xdr:from>
    <xdr:to>
      <xdr:col>20</xdr:col>
      <xdr:colOff>635000</xdr:colOff>
      <xdr:row>65</xdr:row>
      <xdr:rowOff>112889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="90" zoomScaleNormal="90" zoomScalePageLayoutView="90" workbookViewId="0">
      <selection activeCell="C12" sqref="C12"/>
    </sheetView>
  </sheetViews>
  <sheetFormatPr defaultColWidth="8.875" defaultRowHeight="15" x14ac:dyDescent="0.25"/>
  <cols>
    <col min="1" max="8" width="12.375" style="4" bestFit="1" customWidth="1"/>
    <col min="9" max="9" width="11.5" style="4" bestFit="1" customWidth="1"/>
    <col min="10" max="10" width="11.5" style="4" customWidth="1"/>
    <col min="11" max="11" width="12.875" style="4" customWidth="1"/>
    <col min="12" max="12" width="10.625" style="4" customWidth="1"/>
    <col min="13" max="13" width="12.5" style="4" customWidth="1"/>
    <col min="14" max="14" width="12.875" style="4" customWidth="1"/>
    <col min="15" max="15" width="11.875" style="4" customWidth="1"/>
    <col min="16" max="16" width="12.625" style="4" customWidth="1"/>
    <col min="17" max="16384" width="8.875" style="4"/>
  </cols>
  <sheetData>
    <row r="1" spans="1:18" x14ac:dyDescent="0.25">
      <c r="A1" s="1"/>
      <c r="B1" s="75" t="s">
        <v>82</v>
      </c>
      <c r="C1" s="75"/>
      <c r="D1" s="75"/>
      <c r="E1" s="75"/>
      <c r="F1" s="75"/>
      <c r="G1" s="75"/>
      <c r="H1" s="75"/>
      <c r="I1" s="75"/>
      <c r="J1" s="2"/>
      <c r="K1" s="3"/>
      <c r="L1" s="3"/>
      <c r="M1" s="3"/>
      <c r="N1" s="3" t="s">
        <v>0</v>
      </c>
      <c r="O1" s="3"/>
      <c r="P1" s="3"/>
      <c r="Q1" s="3"/>
      <c r="R1" s="3"/>
    </row>
    <row r="2" spans="1:18" ht="38.25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8" t="s">
        <v>2</v>
      </c>
      <c r="L2" s="8" t="s">
        <v>3</v>
      </c>
      <c r="M2" s="8" t="s">
        <v>4</v>
      </c>
      <c r="N2" s="8" t="s">
        <v>5</v>
      </c>
      <c r="O2" s="8" t="s">
        <v>6</v>
      </c>
      <c r="P2" s="8" t="s">
        <v>7</v>
      </c>
      <c r="Q2" s="8" t="s">
        <v>8</v>
      </c>
      <c r="R2" s="9" t="s">
        <v>9</v>
      </c>
    </row>
    <row r="3" spans="1:18" x14ac:dyDescent="0.25">
      <c r="A3" s="10" t="s">
        <v>11</v>
      </c>
      <c r="B3" s="11">
        <v>664265</v>
      </c>
      <c r="C3" s="12">
        <f>M16*I3</f>
        <v>732670</v>
      </c>
      <c r="D3" s="13">
        <v>137495</v>
      </c>
      <c r="E3" s="12">
        <f>O16*I3</f>
        <v>53610</v>
      </c>
      <c r="F3" s="12">
        <f>P16*I3</f>
        <v>35740</v>
      </c>
      <c r="G3" s="12">
        <f>Q16*I3</f>
        <v>71480</v>
      </c>
      <c r="H3" s="12">
        <f>R16*I3</f>
        <v>178699.99999999997</v>
      </c>
      <c r="I3" s="14">
        <f>(1181.8+605.2)*1000</f>
        <v>1787000</v>
      </c>
      <c r="J3" s="14">
        <v>2246451.1742892498</v>
      </c>
      <c r="K3" s="15">
        <f t="shared" ref="K3:R3" si="0">B3/$I$3</f>
        <v>0.37172076105204255</v>
      </c>
      <c r="L3" s="15">
        <f t="shared" si="0"/>
        <v>0.41</v>
      </c>
      <c r="M3" s="15">
        <f t="shared" si="0"/>
        <v>7.69418019026301E-2</v>
      </c>
      <c r="N3" s="15">
        <f t="shared" si="0"/>
        <v>0.03</v>
      </c>
      <c r="O3" s="15">
        <f t="shared" si="0"/>
        <v>0.02</v>
      </c>
      <c r="P3" s="15">
        <f t="shared" si="0"/>
        <v>0.04</v>
      </c>
      <c r="Q3" s="15">
        <f t="shared" si="0"/>
        <v>9.9999999999999978E-2</v>
      </c>
      <c r="R3" s="15">
        <f t="shared" si="0"/>
        <v>1</v>
      </c>
    </row>
    <row r="4" spans="1:18" x14ac:dyDescent="0.25">
      <c r="A4" s="10" t="s">
        <v>12</v>
      </c>
      <c r="B4" s="11">
        <v>896164</v>
      </c>
      <c r="C4" s="11"/>
      <c r="D4" s="13">
        <v>183866</v>
      </c>
      <c r="E4" s="11"/>
      <c r="F4" s="11"/>
      <c r="G4" s="11"/>
      <c r="H4" s="11"/>
      <c r="I4" s="14">
        <f>(1381.6+710.8)*1000</f>
        <v>2092399.9999999995</v>
      </c>
      <c r="J4" s="14">
        <v>2506443.816254416</v>
      </c>
      <c r="K4" s="15">
        <f t="shared" ref="K4:R4" si="1">B4/$I$4</f>
        <v>0.42829478111259806</v>
      </c>
      <c r="L4" s="15">
        <f t="shared" si="1"/>
        <v>0</v>
      </c>
      <c r="M4" s="15">
        <f t="shared" si="1"/>
        <v>8.7873255591665089E-2</v>
      </c>
      <c r="N4" s="15">
        <f t="shared" si="1"/>
        <v>0</v>
      </c>
      <c r="O4" s="15">
        <f t="shared" si="1"/>
        <v>0</v>
      </c>
      <c r="P4" s="15">
        <f t="shared" si="1"/>
        <v>0</v>
      </c>
      <c r="Q4" s="15">
        <f t="shared" si="1"/>
        <v>0</v>
      </c>
      <c r="R4" s="15">
        <f t="shared" si="1"/>
        <v>1</v>
      </c>
    </row>
    <row r="5" spans="1:18" x14ac:dyDescent="0.25">
      <c r="A5" s="10" t="s">
        <v>13</v>
      </c>
      <c r="B5" s="11">
        <v>1177549</v>
      </c>
      <c r="C5" s="11"/>
      <c r="D5" s="13">
        <v>261416</v>
      </c>
      <c r="E5" s="11"/>
      <c r="F5" s="11"/>
      <c r="G5" s="11"/>
      <c r="H5" s="11"/>
      <c r="I5" s="14">
        <f>(1738.4+853.9)*1000</f>
        <v>2592300</v>
      </c>
      <c r="J5" s="14">
        <v>2972231.2288613301</v>
      </c>
      <c r="K5" s="15">
        <f t="shared" ref="K5:R5" si="2">B5/$I$5</f>
        <v>0.45424873664313542</v>
      </c>
      <c r="L5" s="15">
        <f t="shared" si="2"/>
        <v>0</v>
      </c>
      <c r="M5" s="15">
        <f t="shared" si="2"/>
        <v>0.10084326659723025</v>
      </c>
      <c r="N5" s="15">
        <f t="shared" si="2"/>
        <v>0</v>
      </c>
      <c r="O5" s="15">
        <f t="shared" si="2"/>
        <v>0</v>
      </c>
      <c r="P5" s="15">
        <f t="shared" si="2"/>
        <v>0</v>
      </c>
      <c r="Q5" s="15">
        <f t="shared" si="2"/>
        <v>0</v>
      </c>
      <c r="R5" s="15">
        <f t="shared" si="2"/>
        <v>1</v>
      </c>
    </row>
    <row r="6" spans="1:18" x14ac:dyDescent="0.25">
      <c r="A6" s="10" t="s">
        <v>14</v>
      </c>
      <c r="B6" s="11">
        <v>1402622</v>
      </c>
      <c r="C6" s="11"/>
      <c r="D6" s="13">
        <v>313730</v>
      </c>
      <c r="E6" s="11"/>
      <c r="F6" s="11"/>
      <c r="G6" s="11"/>
      <c r="H6" s="11"/>
      <c r="I6" s="14">
        <f>(2125.1+903.2)*1000</f>
        <v>3028300</v>
      </c>
      <c r="J6" s="14">
        <v>3297410.1713062096</v>
      </c>
      <c r="K6" s="15">
        <f t="shared" ref="K6:R6" si="3">B6/$I$6</f>
        <v>0.46317141630617836</v>
      </c>
      <c r="L6" s="15">
        <f t="shared" si="3"/>
        <v>0</v>
      </c>
      <c r="M6" s="15">
        <f t="shared" si="3"/>
        <v>0.10359937918964436</v>
      </c>
      <c r="N6" s="15">
        <f t="shared" si="3"/>
        <v>0</v>
      </c>
      <c r="O6" s="15">
        <f t="shared" si="3"/>
        <v>0</v>
      </c>
      <c r="P6" s="15">
        <f t="shared" si="3"/>
        <v>0</v>
      </c>
      <c r="Q6" s="15">
        <f t="shared" si="3"/>
        <v>0</v>
      </c>
      <c r="R6" s="15">
        <f t="shared" si="3"/>
        <v>1</v>
      </c>
    </row>
    <row r="7" spans="1:18" x14ac:dyDescent="0.25">
      <c r="A7" s="16" t="s">
        <v>15</v>
      </c>
      <c r="B7" s="13">
        <v>1268453</v>
      </c>
      <c r="C7" s="13">
        <v>731634</v>
      </c>
      <c r="D7" s="13">
        <v>420159</v>
      </c>
      <c r="E7" s="13">
        <v>126205</v>
      </c>
      <c r="F7" s="13">
        <v>261915</v>
      </c>
      <c r="G7" s="13">
        <v>141176</v>
      </c>
      <c r="H7" s="13">
        <v>314599</v>
      </c>
      <c r="I7" s="17">
        <v>3264143</v>
      </c>
      <c r="J7" s="17">
        <v>3520289.9586426308</v>
      </c>
      <c r="K7" s="15">
        <f t="shared" ref="K7:R7" si="4">B7/$I$7</f>
        <v>0.38860215376593488</v>
      </c>
      <c r="L7" s="15">
        <f t="shared" si="4"/>
        <v>0.22414275354970661</v>
      </c>
      <c r="M7" s="15">
        <f t="shared" si="4"/>
        <v>0.12871954445623246</v>
      </c>
      <c r="N7" s="15">
        <f t="shared" si="4"/>
        <v>3.8664053627552472E-2</v>
      </c>
      <c r="O7" s="15">
        <f t="shared" si="4"/>
        <v>8.0240050757580172E-2</v>
      </c>
      <c r="P7" s="15">
        <f t="shared" si="4"/>
        <v>4.3250556118405351E-2</v>
      </c>
      <c r="Q7" s="15">
        <f t="shared" si="4"/>
        <v>9.6380275006333976E-2</v>
      </c>
      <c r="R7" s="15">
        <f t="shared" si="4"/>
        <v>1</v>
      </c>
    </row>
    <row r="8" spans="1:18" x14ac:dyDescent="0.25">
      <c r="A8" s="10" t="s">
        <v>16</v>
      </c>
      <c r="B8" s="13">
        <v>1685561</v>
      </c>
      <c r="C8" s="13">
        <v>668414</v>
      </c>
      <c r="D8" s="13">
        <v>501141</v>
      </c>
      <c r="E8" s="13">
        <v>290354</v>
      </c>
      <c r="F8" s="13">
        <v>251620</v>
      </c>
      <c r="G8" s="13">
        <v>144358</v>
      </c>
      <c r="H8" s="13">
        <v>150413</v>
      </c>
      <c r="I8" s="17">
        <v>3691865</v>
      </c>
      <c r="J8" s="17">
        <v>3754626.7050000005</v>
      </c>
      <c r="K8" s="15">
        <f t="shared" ref="K8:R8" si="5">B8/$I$8</f>
        <v>0.45656084390951457</v>
      </c>
      <c r="L8" s="15">
        <f t="shared" si="5"/>
        <v>0.18105049886710375</v>
      </c>
      <c r="M8" s="15">
        <f t="shared" si="5"/>
        <v>0.13574196239569974</v>
      </c>
      <c r="N8" s="15">
        <f t="shared" si="5"/>
        <v>7.8646971110807137E-2</v>
      </c>
      <c r="O8" s="15">
        <f t="shared" si="5"/>
        <v>6.8155254864411347E-2</v>
      </c>
      <c r="P8" s="15">
        <f t="shared" si="5"/>
        <v>3.9101646457820098E-2</v>
      </c>
      <c r="Q8" s="15">
        <f t="shared" si="5"/>
        <v>4.0741738931407298E-2</v>
      </c>
      <c r="R8" s="15">
        <f t="shared" si="5"/>
        <v>1</v>
      </c>
    </row>
    <row r="9" spans="1:18" x14ac:dyDescent="0.25">
      <c r="A9" s="10" t="s">
        <v>17</v>
      </c>
      <c r="B9" s="13">
        <v>1729876</v>
      </c>
      <c r="C9" s="13">
        <v>707275</v>
      </c>
      <c r="D9" s="13">
        <v>565791</v>
      </c>
      <c r="E9" s="13">
        <v>317072</v>
      </c>
      <c r="F9" s="13">
        <v>372307</v>
      </c>
      <c r="G9" s="13">
        <v>204648</v>
      </c>
      <c r="H9" s="13">
        <v>244517</v>
      </c>
      <c r="I9" s="17">
        <v>4141488</v>
      </c>
      <c r="J9" s="17">
        <v>4141488</v>
      </c>
      <c r="K9" s="15">
        <f t="shared" ref="K9:R9" si="6">B9/$I$9</f>
        <v>0.41769431663208972</v>
      </c>
      <c r="L9" s="15">
        <f t="shared" si="6"/>
        <v>0.17077799090568413</v>
      </c>
      <c r="M9" s="15">
        <f t="shared" si="6"/>
        <v>0.13661539041040321</v>
      </c>
      <c r="N9" s="15">
        <f t="shared" si="6"/>
        <v>7.6559922424017643E-2</v>
      </c>
      <c r="O9" s="15">
        <f t="shared" si="6"/>
        <v>8.9896916277434583E-2</v>
      </c>
      <c r="P9" s="15">
        <f t="shared" si="6"/>
        <v>4.9414123619336815E-2</v>
      </c>
      <c r="Q9" s="15">
        <f t="shared" si="6"/>
        <v>5.9040856812817039E-2</v>
      </c>
      <c r="R9" s="15">
        <f t="shared" si="6"/>
        <v>1</v>
      </c>
    </row>
    <row r="11" spans="1:18" x14ac:dyDescent="0.25">
      <c r="A11" s="18" t="s">
        <v>18</v>
      </c>
      <c r="D11" s="19" t="s">
        <v>19</v>
      </c>
      <c r="E11" s="19"/>
      <c r="F11" s="19"/>
      <c r="G11" s="19"/>
      <c r="H11" s="19"/>
      <c r="I11" s="19"/>
      <c r="J11" s="19"/>
      <c r="K11" s="19"/>
      <c r="L11" s="19"/>
      <c r="M11" s="18"/>
    </row>
    <row r="12" spans="1:18" x14ac:dyDescent="0.25">
      <c r="A12" s="20" t="s">
        <v>20</v>
      </c>
      <c r="D12" s="19" t="s">
        <v>21</v>
      </c>
      <c r="E12" s="19"/>
      <c r="F12" s="19"/>
      <c r="G12" s="19"/>
      <c r="H12" s="19"/>
      <c r="I12" s="19"/>
      <c r="J12" s="19"/>
      <c r="K12" s="19"/>
      <c r="L12" s="19"/>
      <c r="M12" s="18"/>
    </row>
    <row r="13" spans="1:18" x14ac:dyDescent="0.25">
      <c r="B13" s="20"/>
      <c r="D13" s="19" t="s">
        <v>22</v>
      </c>
      <c r="E13" s="19"/>
      <c r="F13" s="19"/>
      <c r="G13" s="19"/>
      <c r="H13" s="19"/>
      <c r="I13" s="19"/>
      <c r="J13" s="19"/>
      <c r="K13" s="19"/>
      <c r="L13" s="19"/>
      <c r="M13" s="18"/>
    </row>
    <row r="14" spans="1:18" x14ac:dyDescent="0.25">
      <c r="A14" s="18"/>
      <c r="B14" s="21"/>
      <c r="C14" s="21"/>
      <c r="D14" s="22" t="s">
        <v>23</v>
      </c>
      <c r="E14" s="22"/>
      <c r="F14" s="22"/>
      <c r="G14" s="22"/>
      <c r="H14" s="22"/>
      <c r="I14" s="22"/>
      <c r="J14" s="22"/>
      <c r="K14" s="19"/>
      <c r="L14" s="19"/>
      <c r="M14" s="18"/>
      <c r="N14" s="18"/>
      <c r="O14" s="18"/>
      <c r="P14" s="18"/>
      <c r="Q14" s="18"/>
      <c r="R14" s="18"/>
    </row>
    <row r="15" spans="1:18" ht="38.25" x14ac:dyDescent="0.25">
      <c r="B15" s="75" t="s">
        <v>83</v>
      </c>
      <c r="C15" s="75"/>
      <c r="D15" s="75"/>
      <c r="E15" s="75"/>
      <c r="F15" s="75"/>
      <c r="G15" s="75"/>
      <c r="H15" s="75"/>
      <c r="I15" s="75"/>
      <c r="K15" s="23"/>
      <c r="L15" s="24" t="s">
        <v>24</v>
      </c>
      <c r="M15" s="24" t="s">
        <v>25</v>
      </c>
      <c r="N15" s="24" t="s">
        <v>26</v>
      </c>
      <c r="O15" s="24" t="s">
        <v>27</v>
      </c>
      <c r="P15" s="24" t="s">
        <v>28</v>
      </c>
      <c r="Q15" s="24" t="s">
        <v>29</v>
      </c>
      <c r="R15" s="25" t="s">
        <v>30</v>
      </c>
    </row>
    <row r="16" spans="1:18" ht="38.25" x14ac:dyDescent="0.25">
      <c r="A16" s="73" t="s">
        <v>84</v>
      </c>
      <c r="B16" s="6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7" t="s">
        <v>10</v>
      </c>
      <c r="K16" s="26" t="s">
        <v>11</v>
      </c>
      <c r="L16" s="27">
        <v>0.32</v>
      </c>
      <c r="M16" s="28">
        <v>0.41</v>
      </c>
      <c r="N16" s="28">
        <v>0.08</v>
      </c>
      <c r="O16" s="28">
        <v>0.03</v>
      </c>
      <c r="P16" s="28">
        <v>0.02</v>
      </c>
      <c r="Q16" s="28">
        <v>0.04</v>
      </c>
      <c r="R16" s="29">
        <f>1-SUM(L16:Q16)</f>
        <v>9.9999999999999978E-2</v>
      </c>
    </row>
    <row r="17" spans="1:18" ht="38.25" hidden="1" customHeight="1" x14ac:dyDescent="0.25">
      <c r="A17" s="10" t="s">
        <v>11</v>
      </c>
      <c r="B17" s="11">
        <v>664265</v>
      </c>
      <c r="C17" s="12">
        <f>N30*I17</f>
        <v>0</v>
      </c>
      <c r="D17" s="13">
        <v>137495</v>
      </c>
      <c r="E17" s="12">
        <f>P30*I17</f>
        <v>0</v>
      </c>
      <c r="F17" s="12">
        <f>Q30*I17</f>
        <v>0</v>
      </c>
      <c r="G17" s="12">
        <f>R30*I17</f>
        <v>0</v>
      </c>
      <c r="H17" s="12">
        <f>S30*I17</f>
        <v>0</v>
      </c>
      <c r="I17" s="14">
        <v>2246451.1742892498</v>
      </c>
      <c r="K17" s="30" t="s">
        <v>12</v>
      </c>
      <c r="L17" s="27">
        <v>0.30093693133412563</v>
      </c>
      <c r="M17" s="28" t="s">
        <v>31</v>
      </c>
      <c r="N17" s="28">
        <v>6.1743240987899912E-2</v>
      </c>
      <c r="O17" s="28" t="s">
        <v>31</v>
      </c>
      <c r="P17" s="28" t="s">
        <v>31</v>
      </c>
      <c r="Q17" s="28" t="s">
        <v>31</v>
      </c>
      <c r="R17" s="29" t="s">
        <v>31</v>
      </c>
    </row>
    <row r="18" spans="1:18" ht="15" hidden="1" customHeight="1" x14ac:dyDescent="0.25">
      <c r="A18" s="10" t="s">
        <v>12</v>
      </c>
      <c r="B18" s="11">
        <v>896164</v>
      </c>
      <c r="C18" s="11"/>
      <c r="D18" s="13">
        <v>183866</v>
      </c>
      <c r="E18" s="11"/>
      <c r="F18" s="11"/>
      <c r="G18" s="11"/>
      <c r="H18" s="11"/>
      <c r="I18" s="14">
        <v>2506443.816254416</v>
      </c>
      <c r="K18" s="30" t="s">
        <v>13</v>
      </c>
      <c r="L18" s="27">
        <v>0.37802329810720137</v>
      </c>
      <c r="M18" s="28" t="s">
        <v>31</v>
      </c>
      <c r="N18" s="28">
        <v>8.392121134491401E-2</v>
      </c>
      <c r="O18" s="28" t="s">
        <v>31</v>
      </c>
      <c r="P18" s="28" t="s">
        <v>31</v>
      </c>
      <c r="Q18" s="28" t="s">
        <v>31</v>
      </c>
      <c r="R18" s="29" t="s">
        <v>31</v>
      </c>
    </row>
    <row r="19" spans="1:18" ht="15" hidden="1" customHeight="1" x14ac:dyDescent="0.25">
      <c r="A19" s="10" t="s">
        <v>13</v>
      </c>
      <c r="B19" s="11">
        <v>1177549</v>
      </c>
      <c r="C19" s="11"/>
      <c r="D19" s="13">
        <v>261416</v>
      </c>
      <c r="E19" s="11"/>
      <c r="F19" s="11"/>
      <c r="G19" s="11"/>
      <c r="H19" s="11"/>
      <c r="I19" s="14">
        <v>2972231.2288613301</v>
      </c>
      <c r="K19" s="30" t="s">
        <v>14</v>
      </c>
      <c r="L19" s="27">
        <v>0.37529572871676348</v>
      </c>
      <c r="M19" s="28" t="s">
        <v>31</v>
      </c>
      <c r="N19" s="28">
        <v>8.3943877231577854E-2</v>
      </c>
      <c r="O19" s="28" t="s">
        <v>31</v>
      </c>
      <c r="P19" s="28" t="s">
        <v>31</v>
      </c>
      <c r="Q19" s="28" t="s">
        <v>31</v>
      </c>
      <c r="R19" s="29" t="s">
        <v>31</v>
      </c>
    </row>
    <row r="20" spans="1:18" x14ac:dyDescent="0.25">
      <c r="A20" s="10" t="s">
        <v>11</v>
      </c>
      <c r="B20" s="71">
        <f>I20*L16</f>
        <v>718864.3757725599</v>
      </c>
      <c r="C20" s="71">
        <f>I20*M16</f>
        <v>921044.98145859235</v>
      </c>
      <c r="D20" s="72">
        <f>I20*N16</f>
        <v>179716.09394313997</v>
      </c>
      <c r="E20" s="71">
        <f>I20*O16</f>
        <v>67393.535228677487</v>
      </c>
      <c r="F20" s="71">
        <f>I20*P16</f>
        <v>44929.023485784994</v>
      </c>
      <c r="G20" s="71">
        <f>I20*Q16</f>
        <v>89858.046971569987</v>
      </c>
      <c r="H20" s="71">
        <f>I20*R16</f>
        <v>224645.11742892492</v>
      </c>
      <c r="I20" s="14">
        <v>2246451.1742892498</v>
      </c>
      <c r="K20" s="31" t="s">
        <v>15</v>
      </c>
      <c r="L20" s="27">
        <v>0.38860215376593488</v>
      </c>
      <c r="M20" s="27">
        <v>0.22414275354970661</v>
      </c>
      <c r="N20" s="27">
        <v>0.12871954445623246</v>
      </c>
      <c r="O20" s="27">
        <v>3.8664053627552472E-2</v>
      </c>
      <c r="P20" s="27">
        <v>8.0240050757580172E-2</v>
      </c>
      <c r="Q20" s="27">
        <v>4.3250556118405351E-2</v>
      </c>
      <c r="R20" s="32">
        <v>9.6380275006333976E-2</v>
      </c>
    </row>
    <row r="21" spans="1:18" x14ac:dyDescent="0.25">
      <c r="A21" s="16" t="s">
        <v>15</v>
      </c>
      <c r="B21" s="71">
        <f>I21*L17</f>
        <v>1059385.2575602494</v>
      </c>
      <c r="C21" s="71">
        <f>I21*M20</f>
        <v>789047.48462354206</v>
      </c>
      <c r="D21" s="72">
        <f>I21*N20</f>
        <v>453130.11983032885</v>
      </c>
      <c r="E21" s="71">
        <f>I21*O20</f>
        <v>136108.67974549317</v>
      </c>
      <c r="F21" s="71">
        <f>I21*P20</f>
        <v>282468.24496288452</v>
      </c>
      <c r="G21" s="71">
        <f>I21*Q20</f>
        <v>152254.49840933195</v>
      </c>
      <c r="H21" s="71">
        <f>I21*R20</f>
        <v>339286.51431601279</v>
      </c>
      <c r="I21" s="17">
        <v>3520289.9586426308</v>
      </c>
      <c r="K21" s="35" t="s">
        <v>16</v>
      </c>
      <c r="L21" s="27">
        <v>0.45656084390951457</v>
      </c>
      <c r="M21" s="27">
        <v>0.18105049886710375</v>
      </c>
      <c r="N21" s="27">
        <v>0.13574196239569974</v>
      </c>
      <c r="O21" s="27">
        <v>7.8646971110807137E-2</v>
      </c>
      <c r="P21" s="27">
        <v>6.8155254864411347E-2</v>
      </c>
      <c r="Q21" s="27">
        <v>3.9101646457820098E-2</v>
      </c>
      <c r="R21" s="32">
        <v>4.0741738931407298E-2</v>
      </c>
    </row>
    <row r="22" spans="1:18" x14ac:dyDescent="0.25">
      <c r="A22" s="10" t="s">
        <v>16</v>
      </c>
      <c r="B22" s="71">
        <f t="shared" ref="B22:B23" si="7">I22*L18</f>
        <v>1419336.3701854744</v>
      </c>
      <c r="C22" s="71">
        <f t="shared" ref="C22:C23" si="8">I22*M21</f>
        <v>679777.03800000006</v>
      </c>
      <c r="D22" s="72">
        <f t="shared" ref="D22:D23" si="9">I22*N21</f>
        <v>509660.39700000011</v>
      </c>
      <c r="E22" s="71">
        <f t="shared" ref="E22:E23" si="10">I22*O21</f>
        <v>295290.01800000004</v>
      </c>
      <c r="F22" s="71">
        <f t="shared" ref="F22:F23" si="11">I22*P21</f>
        <v>255897.54000000004</v>
      </c>
      <c r="G22" s="71">
        <f t="shared" ref="G22:G23" si="12">I22*Q21</f>
        <v>146812.08600000001</v>
      </c>
      <c r="H22" s="71">
        <f t="shared" ref="H22:H23" si="13">I22*R21</f>
        <v>152970.02100000004</v>
      </c>
      <c r="I22" s="17">
        <v>3754626.7050000005</v>
      </c>
      <c r="K22" s="36" t="s">
        <v>17</v>
      </c>
      <c r="L22" s="37">
        <v>0.41769431663208972</v>
      </c>
      <c r="M22" s="37">
        <v>0.17077799090568413</v>
      </c>
      <c r="N22" s="37">
        <v>0.13661539041040321</v>
      </c>
      <c r="O22" s="37">
        <v>7.6559922424017643E-2</v>
      </c>
      <c r="P22" s="37">
        <v>8.9896916277434583E-2</v>
      </c>
      <c r="Q22" s="37">
        <v>4.9414123619336815E-2</v>
      </c>
      <c r="R22" s="38">
        <v>5.9040856812817039E-2</v>
      </c>
    </row>
    <row r="23" spans="1:18" x14ac:dyDescent="0.25">
      <c r="A23" s="10" t="s">
        <v>17</v>
      </c>
      <c r="B23" s="71">
        <f t="shared" si="7"/>
        <v>1554282.7569317312</v>
      </c>
      <c r="C23" s="71">
        <f t="shared" si="8"/>
        <v>707275</v>
      </c>
      <c r="D23" s="72">
        <f t="shared" si="9"/>
        <v>565791</v>
      </c>
      <c r="E23" s="71">
        <f t="shared" si="10"/>
        <v>317072</v>
      </c>
      <c r="F23" s="71">
        <f t="shared" si="11"/>
        <v>372307</v>
      </c>
      <c r="G23" s="71">
        <f t="shared" si="12"/>
        <v>204648</v>
      </c>
      <c r="H23" s="71">
        <f t="shared" si="13"/>
        <v>244517</v>
      </c>
      <c r="I23" s="17">
        <v>4141488</v>
      </c>
    </row>
    <row r="25" spans="1:18" ht="38.25" x14ac:dyDescent="0.25">
      <c r="A25" s="74" t="s">
        <v>85</v>
      </c>
      <c r="B25" s="6" t="s">
        <v>2</v>
      </c>
      <c r="C25" s="6" t="s">
        <v>3</v>
      </c>
      <c r="D25" s="6" t="s">
        <v>4</v>
      </c>
      <c r="E25" s="6" t="s">
        <v>5</v>
      </c>
      <c r="F25" s="6" t="s">
        <v>6</v>
      </c>
      <c r="G25" s="6" t="s">
        <v>7</v>
      </c>
      <c r="H25" s="6" t="s">
        <v>8</v>
      </c>
      <c r="I25" s="7" t="s">
        <v>10</v>
      </c>
    </row>
    <row r="26" spans="1:18" x14ac:dyDescent="0.25">
      <c r="A26" s="10" t="s">
        <v>11</v>
      </c>
      <c r="B26" s="33">
        <f>B20/1000</f>
        <v>718.86437577255992</v>
      </c>
      <c r="C26" s="33">
        <f>C20/1000</f>
        <v>921.04498145859236</v>
      </c>
      <c r="D26" s="33">
        <f t="shared" ref="D26:H26" si="14">D20/1000</f>
        <v>179.71609394313998</v>
      </c>
      <c r="E26" s="33">
        <f t="shared" si="14"/>
        <v>67.393535228677493</v>
      </c>
      <c r="F26" s="33">
        <f t="shared" si="14"/>
        <v>44.929023485784995</v>
      </c>
      <c r="G26" s="33">
        <f t="shared" si="14"/>
        <v>89.858046971569991</v>
      </c>
      <c r="H26" s="33">
        <f t="shared" si="14"/>
        <v>224.64511742892492</v>
      </c>
      <c r="I26" s="33">
        <f>I20/1000</f>
        <v>2246.4511742892496</v>
      </c>
    </row>
    <row r="27" spans="1:18" x14ac:dyDescent="0.25">
      <c r="A27" s="16" t="s">
        <v>15</v>
      </c>
      <c r="B27" s="33">
        <f t="shared" ref="B27:C29" si="15">B21/1000</f>
        <v>1059.3852575602493</v>
      </c>
      <c r="C27" s="33">
        <f t="shared" si="15"/>
        <v>789.047484623542</v>
      </c>
      <c r="D27" s="33">
        <f t="shared" ref="D27:I27" si="16">D21/1000</f>
        <v>453.13011983032885</v>
      </c>
      <c r="E27" s="33">
        <f t="shared" si="16"/>
        <v>136.10867974549316</v>
      </c>
      <c r="F27" s="33">
        <f t="shared" si="16"/>
        <v>282.46824496288451</v>
      </c>
      <c r="G27" s="33">
        <f t="shared" si="16"/>
        <v>152.25449840933194</v>
      </c>
      <c r="H27" s="33">
        <f t="shared" si="16"/>
        <v>339.28651431601281</v>
      </c>
      <c r="I27" s="33">
        <f t="shared" si="16"/>
        <v>3520.2899586426311</v>
      </c>
    </row>
    <row r="28" spans="1:18" x14ac:dyDescent="0.25">
      <c r="A28" s="10" t="s">
        <v>16</v>
      </c>
      <c r="B28" s="33">
        <f t="shared" si="15"/>
        <v>1419.3363701854744</v>
      </c>
      <c r="C28" s="33">
        <f t="shared" si="15"/>
        <v>679.77703800000006</v>
      </c>
      <c r="D28" s="33">
        <f t="shared" ref="D28:I28" si="17">D22/1000</f>
        <v>509.6603970000001</v>
      </c>
      <c r="E28" s="33">
        <f t="shared" si="17"/>
        <v>295.29001800000003</v>
      </c>
      <c r="F28" s="33">
        <f t="shared" si="17"/>
        <v>255.89754000000005</v>
      </c>
      <c r="G28" s="33">
        <f t="shared" si="17"/>
        <v>146.81208600000002</v>
      </c>
      <c r="H28" s="33">
        <f t="shared" si="17"/>
        <v>152.97002100000003</v>
      </c>
      <c r="I28" s="33">
        <f t="shared" si="17"/>
        <v>3754.6267050000006</v>
      </c>
    </row>
    <row r="29" spans="1:18" x14ac:dyDescent="0.25">
      <c r="A29" s="10" t="s">
        <v>17</v>
      </c>
      <c r="B29" s="33">
        <f t="shared" si="15"/>
        <v>1554.2827569317312</v>
      </c>
      <c r="C29" s="33">
        <f t="shared" si="15"/>
        <v>707.27499999999998</v>
      </c>
      <c r="D29" s="33">
        <f t="shared" ref="D29:I29" si="18">D23/1000</f>
        <v>565.79100000000005</v>
      </c>
      <c r="E29" s="33">
        <f t="shared" si="18"/>
        <v>317.072</v>
      </c>
      <c r="F29" s="33">
        <f t="shared" si="18"/>
        <v>372.30700000000002</v>
      </c>
      <c r="G29" s="33">
        <f t="shared" si="18"/>
        <v>204.648</v>
      </c>
      <c r="H29" s="33">
        <f t="shared" si="18"/>
        <v>244.517</v>
      </c>
      <c r="I29" s="33">
        <f t="shared" si="18"/>
        <v>4141.4880000000003</v>
      </c>
    </row>
    <row r="30" spans="1:18" x14ac:dyDescent="0.25">
      <c r="C30" s="34"/>
    </row>
    <row r="38" spans="1:8" x14ac:dyDescent="0.25">
      <c r="A38" s="18"/>
    </row>
    <row r="39" spans="1:8" x14ac:dyDescent="0.25">
      <c r="A39" s="20"/>
    </row>
    <row r="40" spans="1:8" x14ac:dyDescent="0.25">
      <c r="A40" s="20"/>
    </row>
    <row r="45" spans="1:8" x14ac:dyDescent="0.25">
      <c r="B45" s="39"/>
      <c r="C45" s="39"/>
      <c r="D45" s="39"/>
      <c r="E45" s="39"/>
      <c r="F45" s="39"/>
      <c r="G45" s="39"/>
      <c r="H45" s="39"/>
    </row>
    <row r="51" spans="13:13" x14ac:dyDescent="0.25">
      <c r="M51" s="4" t="s">
        <v>32</v>
      </c>
    </row>
  </sheetData>
  <mergeCells count="2">
    <mergeCell ref="B1:I1"/>
    <mergeCell ref="B15:I15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topLeftCell="A31" zoomScale="80" zoomScaleNormal="80" zoomScalePageLayoutView="80" workbookViewId="0">
      <pane xSplit="1" topLeftCell="B1" activePane="topRight" state="frozen"/>
      <selection pane="topRight" activeCell="C44" sqref="C44"/>
    </sheetView>
  </sheetViews>
  <sheetFormatPr defaultColWidth="8.875" defaultRowHeight="15" x14ac:dyDescent="0.25"/>
  <cols>
    <col min="1" max="1" width="62.625" style="4" customWidth="1"/>
    <col min="2" max="2" width="8.875" style="4"/>
    <col min="3" max="3" width="10.5" style="4" customWidth="1"/>
    <col min="4" max="16384" width="8.875" style="4"/>
  </cols>
  <sheetData>
    <row r="1" spans="1:15" s="41" customFormat="1" x14ac:dyDescent="0.25">
      <c r="A1" s="40" t="s">
        <v>33</v>
      </c>
    </row>
    <row r="2" spans="1:15" s="41" customFormat="1" x14ac:dyDescent="0.25">
      <c r="A2" s="41" t="s">
        <v>34</v>
      </c>
      <c r="B2" s="42" t="s">
        <v>35</v>
      </c>
      <c r="C2" s="42" t="s">
        <v>36</v>
      </c>
      <c r="D2" s="42" t="s">
        <v>37</v>
      </c>
      <c r="E2" s="42" t="s">
        <v>38</v>
      </c>
      <c r="F2" s="42" t="s">
        <v>39</v>
      </c>
      <c r="G2" s="42" t="s">
        <v>11</v>
      </c>
      <c r="H2" s="42" t="s">
        <v>12</v>
      </c>
      <c r="I2" s="42" t="s">
        <v>13</v>
      </c>
      <c r="J2" s="42" t="s">
        <v>14</v>
      </c>
      <c r="K2" s="42" t="s">
        <v>15</v>
      </c>
      <c r="L2" s="42" t="s">
        <v>16</v>
      </c>
      <c r="M2" s="42" t="s">
        <v>17</v>
      </c>
      <c r="N2" s="42" t="s">
        <v>40</v>
      </c>
      <c r="O2" s="42" t="s">
        <v>41</v>
      </c>
    </row>
    <row r="3" spans="1:15" x14ac:dyDescent="0.25">
      <c r="A3" s="43" t="s">
        <v>42</v>
      </c>
      <c r="B3" s="44">
        <v>907.4</v>
      </c>
      <c r="C3" s="44">
        <v>938.3</v>
      </c>
      <c r="D3" s="44">
        <v>963.6</v>
      </c>
      <c r="E3" s="44">
        <v>999.2</v>
      </c>
      <c r="F3" s="44">
        <v>1032.8</v>
      </c>
      <c r="G3" s="44">
        <v>1181.8</v>
      </c>
      <c r="H3" s="44">
        <v>1381.6</v>
      </c>
      <c r="I3" s="44">
        <v>1738.4</v>
      </c>
      <c r="J3" s="44">
        <v>2125.1</v>
      </c>
      <c r="K3" s="44">
        <v>2439.6999999999998</v>
      </c>
      <c r="L3" s="44">
        <v>2518.8000000000002</v>
      </c>
      <c r="M3" s="44">
        <v>2966.6</v>
      </c>
      <c r="N3" s="44">
        <v>2905.5</v>
      </c>
      <c r="O3" s="44">
        <v>3221</v>
      </c>
    </row>
    <row r="4" spans="1:15" x14ac:dyDescent="0.25">
      <c r="A4" s="43" t="s">
        <v>43</v>
      </c>
      <c r="B4" s="44">
        <v>561.1</v>
      </c>
      <c r="C4" s="44">
        <v>263.7</v>
      </c>
      <c r="D4" s="44">
        <v>748</v>
      </c>
      <c r="E4" s="44">
        <v>305.89999999999998</v>
      </c>
      <c r="F4" s="44">
        <v>1093.9000000000001</v>
      </c>
      <c r="G4" s="44">
        <v>605.20000000000005</v>
      </c>
      <c r="H4" s="44">
        <v>710.8</v>
      </c>
      <c r="I4" s="44">
        <v>853.9</v>
      </c>
      <c r="J4" s="44">
        <v>903.2</v>
      </c>
      <c r="K4" s="44">
        <v>825.3</v>
      </c>
      <c r="L4" s="44">
        <v>1174</v>
      </c>
      <c r="M4" s="44">
        <v>1175.5999999999999</v>
      </c>
      <c r="N4" s="44">
        <v>1154.8</v>
      </c>
      <c r="O4" s="44">
        <v>1348.3</v>
      </c>
    </row>
    <row r="5" spans="1:15" x14ac:dyDescent="0.25">
      <c r="A5" s="43" t="s">
        <v>44</v>
      </c>
      <c r="B5" s="44">
        <v>67.599999999999994</v>
      </c>
      <c r="C5" s="44">
        <v>68.7</v>
      </c>
      <c r="D5" s="44">
        <v>70.599999999999994</v>
      </c>
      <c r="E5" s="44">
        <v>71.2</v>
      </c>
      <c r="F5" s="44">
        <v>75.099999999999994</v>
      </c>
      <c r="G5" s="44">
        <v>77.8</v>
      </c>
      <c r="H5" s="44">
        <v>93.5</v>
      </c>
      <c r="I5" s="44">
        <v>108.8</v>
      </c>
      <c r="J5" s="44">
        <v>132</v>
      </c>
      <c r="K5" s="44">
        <v>134.30000000000001</v>
      </c>
      <c r="L5" s="44">
        <v>250.3</v>
      </c>
      <c r="M5" s="44">
        <v>287.5</v>
      </c>
      <c r="N5" s="44">
        <v>333.8</v>
      </c>
      <c r="O5" s="44">
        <v>374.9</v>
      </c>
    </row>
    <row r="6" spans="1:15" x14ac:dyDescent="0.25">
      <c r="A6" s="43" t="s">
        <v>45</v>
      </c>
      <c r="B6" s="44"/>
      <c r="C6" s="44"/>
      <c r="D6" s="44"/>
      <c r="E6" s="44"/>
      <c r="F6" s="44">
        <v>8.6999999999999993</v>
      </c>
      <c r="G6" s="44"/>
      <c r="H6" s="44"/>
      <c r="I6" s="44"/>
      <c r="J6" s="44"/>
      <c r="K6" s="44"/>
      <c r="L6" s="44"/>
      <c r="N6" s="44"/>
    </row>
    <row r="7" spans="1:15" x14ac:dyDescent="0.25">
      <c r="A7" s="43" t="s">
        <v>46</v>
      </c>
      <c r="B7" s="44">
        <v>45</v>
      </c>
      <c r="C7" s="44">
        <v>46.3</v>
      </c>
      <c r="D7" s="44">
        <v>46.5</v>
      </c>
      <c r="E7" s="44">
        <v>46.8</v>
      </c>
      <c r="F7" s="44">
        <v>47.6</v>
      </c>
      <c r="G7" s="44">
        <v>44.9</v>
      </c>
      <c r="H7" s="44">
        <v>52</v>
      </c>
      <c r="I7" s="44">
        <v>51.7</v>
      </c>
      <c r="J7" s="44">
        <v>52.4</v>
      </c>
      <c r="K7" s="44">
        <v>63.1</v>
      </c>
      <c r="L7" s="44">
        <v>69.400000000000006</v>
      </c>
      <c r="M7" s="44">
        <v>89.6</v>
      </c>
      <c r="N7" s="44">
        <v>93.3</v>
      </c>
      <c r="O7" s="44">
        <v>96.3</v>
      </c>
    </row>
    <row r="8" spans="1:15" x14ac:dyDescent="0.25">
      <c r="A8" s="43" t="s">
        <v>47</v>
      </c>
      <c r="B8" s="44">
        <v>151.19999999999999</v>
      </c>
      <c r="C8" s="44">
        <v>207.3</v>
      </c>
      <c r="D8" s="44">
        <v>219</v>
      </c>
      <c r="E8" s="44">
        <v>275.10000000000002</v>
      </c>
      <c r="F8" s="44">
        <v>459.5</v>
      </c>
      <c r="G8" s="44">
        <v>740.3</v>
      </c>
      <c r="H8" s="44">
        <v>780.5</v>
      </c>
      <c r="I8" s="44">
        <v>417.4</v>
      </c>
      <c r="J8" s="44">
        <v>665.7</v>
      </c>
      <c r="K8" s="44">
        <v>465.1</v>
      </c>
      <c r="L8" s="44">
        <v>412.1</v>
      </c>
      <c r="M8" s="44">
        <v>416.6</v>
      </c>
      <c r="N8" s="44">
        <v>741.3</v>
      </c>
      <c r="O8" s="44">
        <v>704.2</v>
      </c>
    </row>
    <row r="9" spans="1:15" x14ac:dyDescent="0.25">
      <c r="A9" s="43" t="s">
        <v>48</v>
      </c>
      <c r="B9" s="44">
        <v>-109.09999999999997</v>
      </c>
      <c r="C9" s="44">
        <v>230.90000000000003</v>
      </c>
      <c r="D9" s="44">
        <v>-216.99999999999997</v>
      </c>
      <c r="E9" s="44">
        <v>274.8</v>
      </c>
      <c r="F9" s="44">
        <v>-519.39999999999986</v>
      </c>
      <c r="G9" s="44">
        <v>47.7</v>
      </c>
      <c r="H9" s="44">
        <v>-0.4</v>
      </c>
      <c r="I9" s="44">
        <v>3.4</v>
      </c>
      <c r="J9" s="44">
        <v>-78.900000000000006</v>
      </c>
      <c r="K9" s="44">
        <v>-13.5</v>
      </c>
      <c r="L9" s="44">
        <v>-92</v>
      </c>
      <c r="M9" s="44">
        <v>-110.7</v>
      </c>
      <c r="N9" s="44">
        <v>-80.2</v>
      </c>
      <c r="O9" s="44">
        <v>-78.3</v>
      </c>
    </row>
    <row r="10" spans="1:15" x14ac:dyDescent="0.25">
      <c r="A10" s="45" t="s">
        <v>49</v>
      </c>
      <c r="B10" s="44">
        <v>-54.5</v>
      </c>
      <c r="C10" s="44">
        <v>-29.9</v>
      </c>
      <c r="D10" s="44">
        <v>-13.8</v>
      </c>
      <c r="E10" s="44">
        <v>-29.7</v>
      </c>
      <c r="F10" s="44">
        <v>-22.3</v>
      </c>
      <c r="G10" s="44"/>
      <c r="H10" s="44"/>
      <c r="I10" s="44"/>
      <c r="J10" s="44"/>
      <c r="K10" s="44"/>
      <c r="L10" s="44"/>
    </row>
    <row r="11" spans="1:15" x14ac:dyDescent="0.25">
      <c r="A11" s="45" t="s">
        <v>50</v>
      </c>
      <c r="B11" s="44">
        <v>-4.2</v>
      </c>
      <c r="C11" s="44">
        <v>-3.8</v>
      </c>
      <c r="D11" s="44">
        <v>-3.7</v>
      </c>
      <c r="E11" s="44">
        <v>-2.2000000000000002</v>
      </c>
      <c r="F11" s="44">
        <v>0</v>
      </c>
      <c r="G11" s="44"/>
      <c r="H11" s="44"/>
      <c r="I11" s="44"/>
      <c r="J11" s="44"/>
      <c r="K11" s="44"/>
      <c r="L11" s="44"/>
    </row>
    <row r="12" spans="1:15" x14ac:dyDescent="0.25">
      <c r="A12" s="45" t="s">
        <v>51</v>
      </c>
      <c r="B12" s="44">
        <v>-298.89999999999998</v>
      </c>
      <c r="C12" s="44">
        <v>0</v>
      </c>
      <c r="D12" s="44">
        <v>-442.4</v>
      </c>
      <c r="E12" s="44">
        <v>0</v>
      </c>
      <c r="F12" s="44">
        <v>-719.3</v>
      </c>
      <c r="G12" s="44"/>
      <c r="H12" s="44"/>
      <c r="I12" s="44"/>
      <c r="J12" s="44"/>
      <c r="K12" s="44"/>
      <c r="L12" s="44"/>
    </row>
    <row r="13" spans="1:15" x14ac:dyDescent="0.25">
      <c r="A13" s="45" t="s">
        <v>52</v>
      </c>
      <c r="B13" s="44">
        <v>248.5</v>
      </c>
      <c r="C13" s="44">
        <v>264.60000000000002</v>
      </c>
      <c r="D13" s="44">
        <v>242.9</v>
      </c>
      <c r="E13" s="44">
        <v>306.7</v>
      </c>
      <c r="F13" s="44">
        <v>222.2</v>
      </c>
      <c r="G13" s="44"/>
      <c r="H13" s="44"/>
      <c r="I13" s="44"/>
      <c r="J13" s="44"/>
      <c r="K13" s="44"/>
      <c r="L13" s="44"/>
    </row>
    <row r="14" spans="1:15" s="48" customFormat="1" x14ac:dyDescent="0.25">
      <c r="A14" s="46" t="s">
        <v>53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5" s="48" customFormat="1" x14ac:dyDescent="0.25">
      <c r="A15" s="46" t="s">
        <v>54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5" s="50" customFormat="1" x14ac:dyDescent="0.25">
      <c r="A16" s="49" t="s">
        <v>55</v>
      </c>
      <c r="B16" s="50">
        <f>SUM(B3:B9)+B14+B15</f>
        <v>1623.2</v>
      </c>
      <c r="C16" s="50">
        <f t="shared" ref="C16:F16" si="0">SUM(C3:C9)+C14+C15</f>
        <v>1755.2</v>
      </c>
      <c r="D16" s="50">
        <f t="shared" si="0"/>
        <v>1830.6999999999998</v>
      </c>
      <c r="E16" s="50">
        <f t="shared" si="0"/>
        <v>1972.9999999999998</v>
      </c>
      <c r="F16" s="50">
        <f t="shared" si="0"/>
        <v>2198.1999999999998</v>
      </c>
      <c r="G16" s="50">
        <f t="shared" ref="G16" si="1">SUM(G3:G9)+G14+G15</f>
        <v>2697.7</v>
      </c>
      <c r="H16" s="50">
        <f t="shared" ref="H16:O16" si="2">SUM(H3:H9)+H14+H15</f>
        <v>3017.9999999999995</v>
      </c>
      <c r="I16" s="50">
        <f t="shared" si="2"/>
        <v>3173.6000000000004</v>
      </c>
      <c r="J16" s="50">
        <f t="shared" si="2"/>
        <v>3799.5000000000005</v>
      </c>
      <c r="K16" s="50">
        <f t="shared" si="2"/>
        <v>3914</v>
      </c>
      <c r="L16" s="50">
        <f t="shared" si="2"/>
        <v>4332.6000000000004</v>
      </c>
      <c r="M16" s="50">
        <f t="shared" si="2"/>
        <v>4825.2000000000007</v>
      </c>
      <c r="N16" s="50">
        <f t="shared" si="2"/>
        <v>5148.5000000000009</v>
      </c>
      <c r="O16" s="50">
        <f t="shared" si="2"/>
        <v>5666.4</v>
      </c>
    </row>
    <row r="17" spans="1:26" x14ac:dyDescent="0.25">
      <c r="A17" s="51" t="s">
        <v>56</v>
      </c>
      <c r="C17" s="4">
        <f>C16-B16</f>
        <v>132</v>
      </c>
      <c r="D17" s="4">
        <f t="shared" ref="D17:O17" si="3">D16-C16</f>
        <v>75.499999999999773</v>
      </c>
      <c r="E17" s="4">
        <f t="shared" si="3"/>
        <v>142.29999999999995</v>
      </c>
      <c r="F17" s="4">
        <f t="shared" si="3"/>
        <v>225.20000000000005</v>
      </c>
      <c r="G17" s="4">
        <f t="shared" si="3"/>
        <v>499.5</v>
      </c>
      <c r="H17" s="4">
        <f t="shared" si="3"/>
        <v>320.29999999999973</v>
      </c>
      <c r="I17" s="4">
        <f t="shared" si="3"/>
        <v>155.60000000000082</v>
      </c>
      <c r="J17" s="4">
        <f t="shared" si="3"/>
        <v>625.90000000000009</v>
      </c>
      <c r="K17" s="4">
        <f t="shared" si="3"/>
        <v>114.49999999999955</v>
      </c>
      <c r="L17" s="4">
        <f t="shared" si="3"/>
        <v>418.60000000000036</v>
      </c>
      <c r="M17" s="4">
        <f t="shared" si="3"/>
        <v>492.60000000000036</v>
      </c>
      <c r="N17" s="4">
        <f t="shared" si="3"/>
        <v>323.30000000000018</v>
      </c>
      <c r="O17" s="4">
        <f t="shared" si="3"/>
        <v>517.89999999999873</v>
      </c>
    </row>
    <row r="18" spans="1:26" s="54" customFormat="1" x14ac:dyDescent="0.25">
      <c r="A18" s="52" t="s">
        <v>57</v>
      </c>
      <c r="B18" s="53">
        <v>2.3999999999999998E-3</v>
      </c>
      <c r="C18" s="53">
        <v>2.3999999999999998E-3</v>
      </c>
      <c r="D18" s="53">
        <v>2.3999999999999998E-3</v>
      </c>
      <c r="E18" s="53">
        <v>2.3999999999999998E-3</v>
      </c>
      <c r="F18" s="53">
        <v>2.5000000000000001E-3</v>
      </c>
      <c r="G18" s="53">
        <v>2.8060171786147784E-3</v>
      </c>
      <c r="H18" s="53">
        <v>2.8774564233601503E-3</v>
      </c>
      <c r="I18" s="53">
        <v>2.7646032287527845E-3</v>
      </c>
      <c r="J18" s="53">
        <v>3.088705501733699E-3</v>
      </c>
      <c r="K18" s="53">
        <v>3.1215283385966535E-3</v>
      </c>
      <c r="L18" s="53">
        <v>3.1991508892455474E-3</v>
      </c>
      <c r="M18" s="53">
        <v>3.3999999999999998E-3</v>
      </c>
      <c r="N18" s="53">
        <v>3.4999999999999996E-3</v>
      </c>
      <c r="O18" s="53">
        <v>3.7000000000000002E-3</v>
      </c>
    </row>
    <row r="20" spans="1:26" s="56" customFormat="1" x14ac:dyDescent="0.25">
      <c r="A20" s="55" t="s">
        <v>58</v>
      </c>
    </row>
    <row r="21" spans="1:26" s="56" customFormat="1" x14ac:dyDescent="0.25">
      <c r="A21" s="56" t="s">
        <v>59</v>
      </c>
      <c r="B21" s="57">
        <v>2000</v>
      </c>
      <c r="C21" s="57">
        <f>B21+1</f>
        <v>2001</v>
      </c>
      <c r="D21" s="58">
        <f t="shared" ref="D21:K21" si="4">C21+1</f>
        <v>2002</v>
      </c>
      <c r="E21" s="58">
        <f t="shared" si="4"/>
        <v>2003</v>
      </c>
      <c r="F21" s="58">
        <f t="shared" si="4"/>
        <v>2004</v>
      </c>
      <c r="G21" s="58">
        <f t="shared" si="4"/>
        <v>2005</v>
      </c>
      <c r="H21" s="58">
        <f t="shared" si="4"/>
        <v>2006</v>
      </c>
      <c r="I21" s="58">
        <f t="shared" si="4"/>
        <v>2007</v>
      </c>
      <c r="J21" s="58">
        <f t="shared" si="4"/>
        <v>2008</v>
      </c>
      <c r="K21" s="58">
        <f t="shared" si="4"/>
        <v>2009</v>
      </c>
      <c r="L21" s="58">
        <v>2010</v>
      </c>
      <c r="M21" s="58">
        <v>2011</v>
      </c>
      <c r="N21" s="50">
        <v>2012</v>
      </c>
      <c r="O21" s="58">
        <v>2013</v>
      </c>
    </row>
    <row r="22" spans="1:26" x14ac:dyDescent="0.25">
      <c r="A22" s="43" t="s">
        <v>60</v>
      </c>
      <c r="B22" s="59">
        <f>(B3+B5+B6+B7+B14)/B16</f>
        <v>0.62838836865450964</v>
      </c>
      <c r="C22" s="59">
        <f t="shared" ref="C22:O22" si="5">(C3+C5+C6+C7+C14)/C16</f>
        <v>0.60010255241567911</v>
      </c>
      <c r="D22" s="59">
        <f t="shared" si="5"/>
        <v>0.59032064237723281</v>
      </c>
      <c r="E22" s="59">
        <f t="shared" si="5"/>
        <v>0.56624429802331488</v>
      </c>
      <c r="F22" s="59">
        <f t="shared" si="5"/>
        <v>0.52961513965972151</v>
      </c>
      <c r="G22" s="59">
        <f t="shared" si="5"/>
        <v>0.48356006968899434</v>
      </c>
      <c r="H22" s="59">
        <f t="shared" si="5"/>
        <v>0.50599734923790596</v>
      </c>
      <c r="I22" s="59">
        <f t="shared" si="5"/>
        <v>0.59834257625409626</v>
      </c>
      <c r="J22" s="59">
        <f t="shared" si="5"/>
        <v>0.60784313725490191</v>
      </c>
      <c r="K22" s="59">
        <f t="shared" si="5"/>
        <v>0.67376085845682165</v>
      </c>
      <c r="L22" s="59">
        <f t="shared" si="5"/>
        <v>0.6551493329640401</v>
      </c>
      <c r="M22" s="59">
        <f t="shared" si="5"/>
        <v>0.69296609466965087</v>
      </c>
      <c r="N22" s="59">
        <f t="shared" si="5"/>
        <v>0.64729532873652518</v>
      </c>
      <c r="O22" s="59">
        <f t="shared" si="5"/>
        <v>0.65159536919384453</v>
      </c>
    </row>
    <row r="23" spans="1:26" x14ac:dyDescent="0.25">
      <c r="A23" s="43" t="s">
        <v>61</v>
      </c>
      <c r="B23" s="59">
        <f>B8/B16</f>
        <v>9.3149334647609647E-2</v>
      </c>
      <c r="C23" s="59">
        <f t="shared" ref="C23:O23" si="6">C8/C16</f>
        <v>0.11810619872379216</v>
      </c>
      <c r="D23" s="59">
        <f t="shared" si="6"/>
        <v>0.11962637242584805</v>
      </c>
      <c r="E23" s="59">
        <f t="shared" si="6"/>
        <v>0.13943233654333506</v>
      </c>
      <c r="F23" s="59">
        <f t="shared" si="6"/>
        <v>0.20903466472568466</v>
      </c>
      <c r="G23" s="59">
        <f t="shared" si="6"/>
        <v>0.27441894947547912</v>
      </c>
      <c r="H23" s="59">
        <f t="shared" si="6"/>
        <v>0.25861497680583173</v>
      </c>
      <c r="I23" s="59">
        <f t="shared" si="6"/>
        <v>0.13152256112931685</v>
      </c>
      <c r="J23" s="59">
        <f t="shared" si="6"/>
        <v>0.17520726411369916</v>
      </c>
      <c r="K23" s="59">
        <f t="shared" si="6"/>
        <v>0.11882984159427697</v>
      </c>
      <c r="L23" s="59">
        <f t="shared" si="6"/>
        <v>9.5116096570188796E-2</v>
      </c>
      <c r="M23" s="59">
        <f t="shared" si="6"/>
        <v>8.63383901185443E-2</v>
      </c>
      <c r="N23" s="59">
        <f t="shared" si="6"/>
        <v>0.14398368456832084</v>
      </c>
      <c r="O23" s="59">
        <f t="shared" si="6"/>
        <v>0.12427643653819005</v>
      </c>
    </row>
    <row r="24" spans="1:26" x14ac:dyDescent="0.25">
      <c r="A24" s="43" t="s">
        <v>62</v>
      </c>
      <c r="B24" s="59">
        <f>B4/B16</f>
        <v>0.34567520946278957</v>
      </c>
      <c r="C24" s="59">
        <f t="shared" ref="C24:O24" si="7">C4/C16</f>
        <v>0.15023928896991795</v>
      </c>
      <c r="D24" s="59">
        <f t="shared" si="7"/>
        <v>0.40858687933577326</v>
      </c>
      <c r="E24" s="59">
        <f t="shared" si="7"/>
        <v>0.15504308160162189</v>
      </c>
      <c r="F24" s="59">
        <f t="shared" si="7"/>
        <v>0.49763442816850156</v>
      </c>
      <c r="G24" s="59">
        <f t="shared" si="7"/>
        <v>0.22433925195536941</v>
      </c>
      <c r="H24" s="59">
        <f t="shared" si="7"/>
        <v>0.23552021206096754</v>
      </c>
      <c r="I24" s="59">
        <f t="shared" si="7"/>
        <v>0.26906352407360723</v>
      </c>
      <c r="J24" s="59">
        <f t="shared" si="7"/>
        <v>0.23771548888011579</v>
      </c>
      <c r="K24" s="59">
        <f t="shared" si="7"/>
        <v>0.21085845682166579</v>
      </c>
      <c r="L24" s="59">
        <f t="shared" si="7"/>
        <v>0.27096893320408066</v>
      </c>
      <c r="M24" s="59">
        <f t="shared" si="7"/>
        <v>0.24363756942717396</v>
      </c>
      <c r="N24" s="59">
        <f t="shared" si="7"/>
        <v>0.22429833932213261</v>
      </c>
      <c r="O24" s="59">
        <f t="shared" si="7"/>
        <v>0.23794649159960468</v>
      </c>
    </row>
    <row r="25" spans="1:26" x14ac:dyDescent="0.25">
      <c r="A25" s="43" t="s">
        <v>63</v>
      </c>
      <c r="B25" s="59">
        <f>B9/B16</f>
        <v>-6.7212912764908803E-2</v>
      </c>
      <c r="C25" s="59">
        <f t="shared" ref="C25:O25" si="8">C9/C16</f>
        <v>0.13155195989061078</v>
      </c>
      <c r="D25" s="59">
        <f t="shared" si="8"/>
        <v>-0.11853389413885398</v>
      </c>
      <c r="E25" s="59">
        <f t="shared" si="8"/>
        <v>0.13928028383172836</v>
      </c>
      <c r="F25" s="59">
        <f t="shared" si="8"/>
        <v>-0.23628423255390771</v>
      </c>
      <c r="G25" s="59">
        <f t="shared" si="8"/>
        <v>1.7681728880157174E-2</v>
      </c>
      <c r="H25" s="59">
        <f t="shared" si="8"/>
        <v>-1.3253810470510274E-4</v>
      </c>
      <c r="I25" s="59">
        <f t="shared" si="8"/>
        <v>1.0713385429795815E-3</v>
      </c>
      <c r="J25" s="59">
        <f t="shared" si="8"/>
        <v>-2.0765890248716935E-2</v>
      </c>
      <c r="K25" s="59">
        <f t="shared" si="8"/>
        <v>-3.4491568727644355E-3</v>
      </c>
      <c r="L25" s="59">
        <f t="shared" si="8"/>
        <v>-2.1234362738309559E-2</v>
      </c>
      <c r="M25" s="59">
        <f t="shared" si="8"/>
        <v>-2.2942054215369309E-2</v>
      </c>
      <c r="N25" s="59">
        <f t="shared" si="8"/>
        <v>-1.557735262697873E-2</v>
      </c>
      <c r="O25" s="59">
        <f t="shared" si="8"/>
        <v>-1.3818297331639137E-2</v>
      </c>
    </row>
    <row r="26" spans="1:26" s="61" customFormat="1" x14ac:dyDescent="0.25">
      <c r="A26" s="49" t="s">
        <v>55</v>
      </c>
      <c r="B26" s="60">
        <f>SUM(B22:B25)</f>
        <v>1</v>
      </c>
      <c r="C26" s="60">
        <f t="shared" ref="C26:O26" si="9">SUM(C22:C25)</f>
        <v>1</v>
      </c>
      <c r="D26" s="60">
        <f t="shared" si="9"/>
        <v>1</v>
      </c>
      <c r="E26" s="60">
        <f t="shared" si="9"/>
        <v>1.0000000000000002</v>
      </c>
      <c r="F26" s="60">
        <f t="shared" si="9"/>
        <v>0.99999999999999989</v>
      </c>
      <c r="G26" s="60">
        <f t="shared" si="9"/>
        <v>1</v>
      </c>
      <c r="H26" s="60">
        <f t="shared" si="9"/>
        <v>1.0000000000000002</v>
      </c>
      <c r="I26" s="60">
        <f t="shared" si="9"/>
        <v>0.99999999999999989</v>
      </c>
      <c r="J26" s="60">
        <f t="shared" si="9"/>
        <v>1</v>
      </c>
      <c r="K26" s="60">
        <f t="shared" si="9"/>
        <v>0.99999999999999989</v>
      </c>
      <c r="L26" s="60">
        <f t="shared" si="9"/>
        <v>1</v>
      </c>
      <c r="M26" s="60">
        <f t="shared" si="9"/>
        <v>0.99999999999999978</v>
      </c>
      <c r="N26" s="60">
        <f t="shared" si="9"/>
        <v>1</v>
      </c>
      <c r="O26" s="60">
        <f t="shared" si="9"/>
        <v>1.0000000000000002</v>
      </c>
    </row>
    <row r="27" spans="1:26" s="56" customFormat="1" x14ac:dyDescent="0.25">
      <c r="A27" s="55" t="s">
        <v>64</v>
      </c>
    </row>
    <row r="28" spans="1:26" s="56" customFormat="1" x14ac:dyDescent="0.25">
      <c r="A28" s="56" t="s">
        <v>59</v>
      </c>
      <c r="B28" s="57">
        <v>2000</v>
      </c>
      <c r="C28" s="57">
        <f>B28+1</f>
        <v>2001</v>
      </c>
      <c r="D28" s="58">
        <f t="shared" ref="D28:K28" si="10">C28+1</f>
        <v>2002</v>
      </c>
      <c r="E28" s="58">
        <f t="shared" si="10"/>
        <v>2003</v>
      </c>
      <c r="F28" s="58">
        <f t="shared" si="10"/>
        <v>2004</v>
      </c>
      <c r="G28" s="58">
        <f t="shared" si="10"/>
        <v>2005</v>
      </c>
      <c r="H28" s="58">
        <f t="shared" si="10"/>
        <v>2006</v>
      </c>
      <c r="I28" s="58">
        <f t="shared" si="10"/>
        <v>2007</v>
      </c>
      <c r="J28" s="58">
        <f t="shared" si="10"/>
        <v>2008</v>
      </c>
      <c r="K28" s="58">
        <f t="shared" si="10"/>
        <v>2009</v>
      </c>
      <c r="L28" s="58">
        <v>2010</v>
      </c>
      <c r="M28" s="58">
        <v>2011</v>
      </c>
      <c r="N28" s="50">
        <v>2012</v>
      </c>
      <c r="O28" s="58">
        <v>2013</v>
      </c>
    </row>
    <row r="29" spans="1:26" x14ac:dyDescent="0.25">
      <c r="A29" s="43" t="s">
        <v>60</v>
      </c>
      <c r="B29" s="62">
        <f>B22*$B$16</f>
        <v>1020.0000000000001</v>
      </c>
      <c r="C29" s="62">
        <f>C22*$C$16</f>
        <v>1053.3</v>
      </c>
      <c r="D29" s="62">
        <f>D22*$D$16</f>
        <v>1080.7</v>
      </c>
      <c r="E29" s="62">
        <f>E22*$E$16</f>
        <v>1117.2</v>
      </c>
      <c r="F29" s="62">
        <f>F22*$F$16</f>
        <v>1164.1999999999998</v>
      </c>
      <c r="G29" s="62">
        <f>G22*$G$16</f>
        <v>1304.5</v>
      </c>
      <c r="H29" s="62">
        <f>H22*$H$16</f>
        <v>1527.1</v>
      </c>
      <c r="I29" s="62">
        <f>I22*$I$16</f>
        <v>1898.9</v>
      </c>
      <c r="J29" s="62">
        <f>J22*$J$16</f>
        <v>2309.5</v>
      </c>
      <c r="K29" s="62">
        <f>K22*$K$16</f>
        <v>2637.1</v>
      </c>
      <c r="L29" s="62">
        <f>L22*$L$16</f>
        <v>2838.5000000000005</v>
      </c>
      <c r="M29" s="62">
        <f>M22*$M$16</f>
        <v>3343.7</v>
      </c>
      <c r="N29" s="62">
        <f>N22*$N$16</f>
        <v>3332.6000000000004</v>
      </c>
      <c r="O29" s="62">
        <f>O22*$O$16</f>
        <v>3692.2000000000003</v>
      </c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x14ac:dyDescent="0.25">
      <c r="A30" s="43" t="s">
        <v>61</v>
      </c>
      <c r="B30" s="62">
        <f t="shared" ref="B30:B32" si="11">B23*$B$16</f>
        <v>151.19999999999999</v>
      </c>
      <c r="C30" s="62">
        <f t="shared" ref="C30:C33" si="12">C23*$C$16</f>
        <v>207.3</v>
      </c>
      <c r="D30" s="62">
        <f t="shared" ref="D30:D33" si="13">D23*$D$16</f>
        <v>219</v>
      </c>
      <c r="E30" s="62">
        <f t="shared" ref="E30:E33" si="14">E23*$E$16</f>
        <v>275.10000000000002</v>
      </c>
      <c r="F30" s="62">
        <f t="shared" ref="F30:F33" si="15">F23*$F$16</f>
        <v>459.5</v>
      </c>
      <c r="G30" s="62">
        <f t="shared" ref="G30:G33" si="16">G23*$G$16</f>
        <v>740.3</v>
      </c>
      <c r="H30" s="62">
        <f t="shared" ref="H30:H33" si="17">H23*$H$16</f>
        <v>780.5</v>
      </c>
      <c r="I30" s="62">
        <f t="shared" ref="I30:I33" si="18">I23*$I$16</f>
        <v>417.4</v>
      </c>
      <c r="J30" s="62">
        <f t="shared" ref="J30:J33" si="19">J23*$J$16</f>
        <v>665.7</v>
      </c>
      <c r="K30" s="62">
        <f t="shared" ref="K30:K33" si="20">K23*$K$16</f>
        <v>465.1</v>
      </c>
      <c r="L30" s="62">
        <f t="shared" ref="L30:L33" si="21">L23*$L$16</f>
        <v>412.1</v>
      </c>
      <c r="M30" s="62">
        <f t="shared" ref="M30:M33" si="22">M23*$M$16</f>
        <v>416.6</v>
      </c>
      <c r="N30" s="62">
        <f t="shared" ref="N30:N33" si="23">N23*$N$16</f>
        <v>741.3</v>
      </c>
      <c r="O30" s="62">
        <f t="shared" ref="O30:O33" si="24">O23*$O$16</f>
        <v>704.2</v>
      </c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x14ac:dyDescent="0.25">
      <c r="A31" s="43" t="s">
        <v>62</v>
      </c>
      <c r="B31" s="62">
        <f t="shared" si="11"/>
        <v>561.1</v>
      </c>
      <c r="C31" s="62">
        <f t="shared" si="12"/>
        <v>263.7</v>
      </c>
      <c r="D31" s="62">
        <f t="shared" si="13"/>
        <v>748</v>
      </c>
      <c r="E31" s="62">
        <f t="shared" si="14"/>
        <v>305.89999999999998</v>
      </c>
      <c r="F31" s="62">
        <f t="shared" si="15"/>
        <v>1093.9000000000001</v>
      </c>
      <c r="G31" s="62">
        <f t="shared" si="16"/>
        <v>605.20000000000005</v>
      </c>
      <c r="H31" s="62">
        <f t="shared" si="17"/>
        <v>710.8</v>
      </c>
      <c r="I31" s="62">
        <f t="shared" si="18"/>
        <v>853.9</v>
      </c>
      <c r="J31" s="62">
        <f t="shared" si="19"/>
        <v>903.2</v>
      </c>
      <c r="K31" s="62">
        <f t="shared" si="20"/>
        <v>825.3</v>
      </c>
      <c r="L31" s="62">
        <f t="shared" si="21"/>
        <v>1174</v>
      </c>
      <c r="M31" s="62">
        <f t="shared" si="22"/>
        <v>1175.5999999999999</v>
      </c>
      <c r="N31" s="62">
        <f t="shared" si="23"/>
        <v>1154.8</v>
      </c>
      <c r="O31" s="62">
        <f t="shared" si="24"/>
        <v>1348.3</v>
      </c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x14ac:dyDescent="0.25">
      <c r="A32" s="43" t="s">
        <v>63</v>
      </c>
      <c r="B32" s="62">
        <f t="shared" si="11"/>
        <v>-109.09999999999997</v>
      </c>
      <c r="C32" s="62">
        <f t="shared" si="12"/>
        <v>230.90000000000003</v>
      </c>
      <c r="D32" s="62">
        <f t="shared" si="13"/>
        <v>-216.99999999999997</v>
      </c>
      <c r="E32" s="62">
        <f t="shared" si="14"/>
        <v>274.8</v>
      </c>
      <c r="F32" s="62">
        <f t="shared" si="15"/>
        <v>-519.39999999999986</v>
      </c>
      <c r="G32" s="62">
        <f t="shared" si="16"/>
        <v>47.7</v>
      </c>
      <c r="H32" s="62">
        <f t="shared" si="17"/>
        <v>-0.4</v>
      </c>
      <c r="I32" s="62">
        <f t="shared" si="18"/>
        <v>3.4</v>
      </c>
      <c r="J32" s="62">
        <f t="shared" si="19"/>
        <v>-78.900000000000006</v>
      </c>
      <c r="K32" s="62">
        <f t="shared" si="20"/>
        <v>-13.5</v>
      </c>
      <c r="L32" s="62">
        <f t="shared" si="21"/>
        <v>-92</v>
      </c>
      <c r="M32" s="62">
        <f t="shared" si="22"/>
        <v>-110.7</v>
      </c>
      <c r="N32" s="62">
        <f t="shared" si="23"/>
        <v>-80.2</v>
      </c>
      <c r="O32" s="62">
        <f t="shared" si="24"/>
        <v>-78.3</v>
      </c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s="61" customFormat="1" x14ac:dyDescent="0.25">
      <c r="A33" s="49" t="s">
        <v>55</v>
      </c>
      <c r="B33" s="63">
        <f>B26*$B$16</f>
        <v>1623.2</v>
      </c>
      <c r="C33" s="63">
        <f t="shared" si="12"/>
        <v>1755.2</v>
      </c>
      <c r="D33" s="63">
        <f t="shared" si="13"/>
        <v>1830.6999999999998</v>
      </c>
      <c r="E33" s="63">
        <f t="shared" si="14"/>
        <v>1973.0000000000002</v>
      </c>
      <c r="F33" s="63">
        <f t="shared" si="15"/>
        <v>2198.1999999999994</v>
      </c>
      <c r="G33" s="63">
        <f t="shared" si="16"/>
        <v>2697.7</v>
      </c>
      <c r="H33" s="63">
        <f t="shared" si="17"/>
        <v>3018</v>
      </c>
      <c r="I33" s="63">
        <f t="shared" si="18"/>
        <v>3173.6</v>
      </c>
      <c r="J33" s="63">
        <f t="shared" si="19"/>
        <v>3799.5000000000005</v>
      </c>
      <c r="K33" s="63">
        <f t="shared" si="20"/>
        <v>3913.9999999999995</v>
      </c>
      <c r="L33" s="63">
        <f t="shared" si="21"/>
        <v>4332.6000000000004</v>
      </c>
      <c r="M33" s="63">
        <f t="shared" si="22"/>
        <v>4825.2</v>
      </c>
      <c r="N33" s="63">
        <f t="shared" si="23"/>
        <v>5148.5000000000009</v>
      </c>
      <c r="O33" s="63">
        <f t="shared" si="24"/>
        <v>5666.4000000000005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s="56" customFormat="1" x14ac:dyDescent="0.25">
      <c r="A34" s="55" t="s">
        <v>65</v>
      </c>
    </row>
    <row r="35" spans="1:26" s="41" customFormat="1" x14ac:dyDescent="0.25">
      <c r="A35" s="41" t="s">
        <v>34</v>
      </c>
      <c r="B35" s="42" t="s">
        <v>35</v>
      </c>
      <c r="C35" s="42" t="s">
        <v>36</v>
      </c>
      <c r="D35" s="42" t="s">
        <v>37</v>
      </c>
      <c r="E35" s="42" t="s">
        <v>38</v>
      </c>
      <c r="F35" s="42" t="s">
        <v>39</v>
      </c>
      <c r="G35" s="42" t="s">
        <v>11</v>
      </c>
      <c r="H35" s="42" t="s">
        <v>12</v>
      </c>
      <c r="I35" s="42" t="s">
        <v>13</v>
      </c>
      <c r="J35" s="42" t="s">
        <v>14</v>
      </c>
      <c r="K35" s="42" t="s">
        <v>15</v>
      </c>
      <c r="L35" s="42" t="s">
        <v>16</v>
      </c>
      <c r="M35" s="42" t="s">
        <v>17</v>
      </c>
      <c r="N35" s="42" t="s">
        <v>40</v>
      </c>
      <c r="O35" s="42" t="s">
        <v>41</v>
      </c>
    </row>
    <row r="36" spans="1:26" s="66" customFormat="1" x14ac:dyDescent="0.25">
      <c r="A36" s="64" t="s">
        <v>66</v>
      </c>
      <c r="B36" s="65">
        <f>B5</f>
        <v>67.599999999999994</v>
      </c>
      <c r="C36" s="65">
        <f t="shared" ref="C36:O36" si="25">C5</f>
        <v>68.7</v>
      </c>
      <c r="D36" s="65">
        <f t="shared" si="25"/>
        <v>70.599999999999994</v>
      </c>
      <c r="E36" s="65">
        <f t="shared" si="25"/>
        <v>71.2</v>
      </c>
      <c r="F36" s="65">
        <f t="shared" si="25"/>
        <v>75.099999999999994</v>
      </c>
      <c r="G36" s="65">
        <f t="shared" si="25"/>
        <v>77.8</v>
      </c>
      <c r="H36" s="65">
        <f t="shared" si="25"/>
        <v>93.5</v>
      </c>
      <c r="I36" s="65">
        <f t="shared" si="25"/>
        <v>108.8</v>
      </c>
      <c r="J36" s="65">
        <f t="shared" si="25"/>
        <v>132</v>
      </c>
      <c r="K36" s="65">
        <f t="shared" si="25"/>
        <v>134.30000000000001</v>
      </c>
      <c r="L36" s="65">
        <f t="shared" si="25"/>
        <v>250.3</v>
      </c>
      <c r="M36" s="65">
        <f t="shared" si="25"/>
        <v>287.5</v>
      </c>
      <c r="N36" s="65">
        <f t="shared" si="25"/>
        <v>333.8</v>
      </c>
      <c r="O36" s="65">
        <f t="shared" si="25"/>
        <v>374.9</v>
      </c>
    </row>
    <row r="37" spans="1:26" s="48" customFormat="1" x14ac:dyDescent="0.25">
      <c r="A37" s="46" t="s">
        <v>47</v>
      </c>
      <c r="B37" s="47">
        <f>B7+B8</f>
        <v>196.2</v>
      </c>
      <c r="C37" s="47">
        <f t="shared" ref="C37:O37" si="26">C7+C8</f>
        <v>253.60000000000002</v>
      </c>
      <c r="D37" s="47">
        <f t="shared" si="26"/>
        <v>265.5</v>
      </c>
      <c r="E37" s="47">
        <f t="shared" si="26"/>
        <v>321.90000000000003</v>
      </c>
      <c r="F37" s="47">
        <f t="shared" si="26"/>
        <v>507.1</v>
      </c>
      <c r="G37" s="47">
        <f t="shared" si="26"/>
        <v>785.19999999999993</v>
      </c>
      <c r="H37" s="47">
        <f t="shared" si="26"/>
        <v>832.5</v>
      </c>
      <c r="I37" s="47">
        <f t="shared" si="26"/>
        <v>469.09999999999997</v>
      </c>
      <c r="J37" s="47">
        <f t="shared" si="26"/>
        <v>718.1</v>
      </c>
      <c r="K37" s="47">
        <f t="shared" si="26"/>
        <v>528.20000000000005</v>
      </c>
      <c r="L37" s="47">
        <f t="shared" si="26"/>
        <v>481.5</v>
      </c>
      <c r="M37" s="47">
        <f t="shared" si="26"/>
        <v>506.20000000000005</v>
      </c>
      <c r="N37" s="47">
        <f t="shared" si="26"/>
        <v>834.59999999999991</v>
      </c>
      <c r="O37" s="47">
        <f t="shared" si="26"/>
        <v>800.5</v>
      </c>
    </row>
    <row r="38" spans="1:26" s="48" customFormat="1" x14ac:dyDescent="0.25">
      <c r="A38" s="46" t="s">
        <v>67</v>
      </c>
      <c r="B38" s="67">
        <f>B4/B16</f>
        <v>0.34567520946278957</v>
      </c>
      <c r="C38" s="67">
        <f t="shared" ref="C38:O38" si="27">C4/C16</f>
        <v>0.15023928896991795</v>
      </c>
      <c r="D38" s="67">
        <f t="shared" si="27"/>
        <v>0.40858687933577326</v>
      </c>
      <c r="E38" s="67">
        <f t="shared" si="27"/>
        <v>0.15504308160162189</v>
      </c>
      <c r="F38" s="67">
        <f t="shared" si="27"/>
        <v>0.49763442816850156</v>
      </c>
      <c r="G38" s="67">
        <f t="shared" si="27"/>
        <v>0.22433925195536941</v>
      </c>
      <c r="H38" s="67">
        <f t="shared" si="27"/>
        <v>0.23552021206096754</v>
      </c>
      <c r="I38" s="67">
        <f t="shared" si="27"/>
        <v>0.26906352407360723</v>
      </c>
      <c r="J38" s="67">
        <f t="shared" si="27"/>
        <v>0.23771548888011579</v>
      </c>
      <c r="K38" s="67">
        <f t="shared" si="27"/>
        <v>0.21085845682166579</v>
      </c>
      <c r="L38" s="67">
        <f t="shared" si="27"/>
        <v>0.27096893320408066</v>
      </c>
      <c r="M38" s="67">
        <f t="shared" si="27"/>
        <v>0.24363756942717396</v>
      </c>
      <c r="N38" s="67">
        <f t="shared" si="27"/>
        <v>0.22429833932213261</v>
      </c>
      <c r="O38" s="67">
        <f t="shared" si="27"/>
        <v>0.23794649159960468</v>
      </c>
    </row>
    <row r="39" spans="1:26" s="48" customFormat="1" x14ac:dyDescent="0.25">
      <c r="A39" s="46" t="s">
        <v>68</v>
      </c>
      <c r="B39" s="67">
        <f>B3/B16</f>
        <v>0.55901922129127646</v>
      </c>
      <c r="C39" s="67">
        <f t="shared" ref="C39:O39" si="28">C3/C16</f>
        <v>0.53458295350957152</v>
      </c>
      <c r="D39" s="67">
        <f t="shared" si="28"/>
        <v>0.52635603867373137</v>
      </c>
      <c r="E39" s="67">
        <f t="shared" si="28"/>
        <v>0.50643689812468329</v>
      </c>
      <c r="F39" s="67">
        <f t="shared" si="28"/>
        <v>0.46983895914839419</v>
      </c>
      <c r="G39" s="67">
        <f t="shared" si="28"/>
        <v>0.43807688030544539</v>
      </c>
      <c r="H39" s="67">
        <f t="shared" si="28"/>
        <v>0.45778661365142481</v>
      </c>
      <c r="I39" s="67">
        <f t="shared" si="28"/>
        <v>0.54776909503403071</v>
      </c>
      <c r="J39" s="67">
        <f t="shared" si="28"/>
        <v>0.55931043558362936</v>
      </c>
      <c r="K39" s="67">
        <f t="shared" si="28"/>
        <v>0.62332652018395496</v>
      </c>
      <c r="L39" s="67">
        <f t="shared" si="28"/>
        <v>0.58135992244841439</v>
      </c>
      <c r="M39" s="67">
        <f t="shared" si="28"/>
        <v>0.61481389372461237</v>
      </c>
      <c r="N39" s="67">
        <f t="shared" si="28"/>
        <v>0.56433912790133034</v>
      </c>
      <c r="O39" s="67">
        <f t="shared" si="28"/>
        <v>0.56843851475363549</v>
      </c>
    </row>
    <row r="40" spans="1:26" s="41" customFormat="1" x14ac:dyDescent="0.25">
      <c r="A40" s="68" t="s">
        <v>69</v>
      </c>
      <c r="B40" s="53">
        <f>B37/B16</f>
        <v>0.1208723509117792</v>
      </c>
      <c r="C40" s="53">
        <f t="shared" ref="C40:O40" si="29">C37/C16</f>
        <v>0.14448495897903374</v>
      </c>
      <c r="D40" s="53">
        <f t="shared" si="29"/>
        <v>0.14502649259845962</v>
      </c>
      <c r="E40" s="53">
        <f t="shared" si="29"/>
        <v>0.16315255955397875</v>
      </c>
      <c r="F40" s="53">
        <f t="shared" si="29"/>
        <v>0.23068874533709402</v>
      </c>
      <c r="G40" s="53">
        <f t="shared" si="29"/>
        <v>0.29106275716350966</v>
      </c>
      <c r="H40" s="53">
        <f t="shared" si="29"/>
        <v>0.27584493041749508</v>
      </c>
      <c r="I40" s="53">
        <f t="shared" si="29"/>
        <v>0.14781320897403577</v>
      </c>
      <c r="J40" s="53">
        <f t="shared" si="29"/>
        <v>0.18899855244111066</v>
      </c>
      <c r="K40" s="53">
        <f t="shared" si="29"/>
        <v>0.13495145631067962</v>
      </c>
      <c r="L40" s="53">
        <f t="shared" si="29"/>
        <v>0.11113419194017449</v>
      </c>
      <c r="M40" s="53">
        <f t="shared" si="29"/>
        <v>0.10490756859819282</v>
      </c>
      <c r="N40" s="53">
        <f t="shared" si="29"/>
        <v>0.16210546761192576</v>
      </c>
      <c r="O40" s="53">
        <f t="shared" si="29"/>
        <v>0.14127135394606805</v>
      </c>
    </row>
    <row r="41" spans="1:26" x14ac:dyDescent="0.25">
      <c r="B41" s="4">
        <f>SUM(B40:N40)/13</f>
        <v>0.17084948006442069</v>
      </c>
    </row>
    <row r="42" spans="1:26" x14ac:dyDescent="0.25">
      <c r="A42" s="4">
        <v>100</v>
      </c>
    </row>
  </sheetData>
  <pageMargins left="0.7" right="0.7" top="0.75" bottom="0.75" header="0.3" footer="0.3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"/>
  <sheetViews>
    <sheetView topLeftCell="A25" zoomScale="90" zoomScaleNormal="90" zoomScalePageLayoutView="90" workbookViewId="0">
      <selection activeCell="M2" sqref="M2"/>
    </sheetView>
  </sheetViews>
  <sheetFormatPr defaultColWidth="8.875" defaultRowHeight="15" x14ac:dyDescent="0.25"/>
  <cols>
    <col min="1" max="1" width="37.375" style="4" customWidth="1"/>
    <col min="2" max="12" width="8.875" style="4"/>
    <col min="13" max="13" width="12.5" style="4" customWidth="1"/>
    <col min="14" max="16384" width="8.875" style="4"/>
  </cols>
  <sheetData>
    <row r="1" spans="1:27" s="41" customFormat="1" x14ac:dyDescent="0.25">
      <c r="B1" s="42" t="s">
        <v>37</v>
      </c>
      <c r="C1" s="42" t="s">
        <v>38</v>
      </c>
      <c r="D1" s="42" t="s">
        <v>39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2" t="s">
        <v>16</v>
      </c>
      <c r="K1" s="42" t="s">
        <v>17</v>
      </c>
      <c r="L1" s="42" t="s">
        <v>80</v>
      </c>
      <c r="M1" s="42" t="s">
        <v>81</v>
      </c>
      <c r="O1" s="69" t="s">
        <v>70</v>
      </c>
      <c r="P1" s="42" t="s">
        <v>37</v>
      </c>
      <c r="Q1" s="42" t="s">
        <v>38</v>
      </c>
      <c r="R1" s="42" t="s">
        <v>39</v>
      </c>
      <c r="S1" s="42" t="s">
        <v>11</v>
      </c>
      <c r="T1" s="42" t="s">
        <v>12</v>
      </c>
      <c r="U1" s="42" t="s">
        <v>13</v>
      </c>
      <c r="V1" s="42" t="s">
        <v>14</v>
      </c>
      <c r="W1" s="42" t="s">
        <v>15</v>
      </c>
      <c r="X1" s="42" t="s">
        <v>16</v>
      </c>
      <c r="Y1" s="42" t="s">
        <v>17</v>
      </c>
      <c r="Z1" s="42" t="s">
        <v>80</v>
      </c>
      <c r="AA1" s="42" t="s">
        <v>81</v>
      </c>
    </row>
    <row r="2" spans="1:27" x14ac:dyDescent="0.25">
      <c r="A2" s="43" t="s">
        <v>71</v>
      </c>
      <c r="B2" s="4">
        <v>417390</v>
      </c>
      <c r="C2" s="4">
        <v>171510</v>
      </c>
      <c r="D2" s="4">
        <v>284593</v>
      </c>
      <c r="E2" s="4">
        <v>147955</v>
      </c>
      <c r="F2" s="4">
        <v>304020</v>
      </c>
      <c r="G2" s="4">
        <v>389204</v>
      </c>
      <c r="H2" s="4">
        <v>508241</v>
      </c>
      <c r="I2" s="4">
        <v>490971</v>
      </c>
      <c r="J2" s="4">
        <v>691201</v>
      </c>
      <c r="K2" s="4">
        <v>764908</v>
      </c>
      <c r="L2" s="4">
        <f>SUM(B2:D2)/3</f>
        <v>291164.33333333331</v>
      </c>
      <c r="M2" s="4">
        <f>SUM(I2:K2)/3</f>
        <v>649026.66666666663</v>
      </c>
      <c r="P2" s="70">
        <f>B2/$B$10</f>
        <v>0.54377039676387628</v>
      </c>
      <c r="Q2" s="70">
        <f>C2/$C$10</f>
        <v>0.29314140385180731</v>
      </c>
      <c r="R2" s="70">
        <f>D2/$D$10</f>
        <v>0.42194931739197478</v>
      </c>
      <c r="S2" s="70">
        <f>E2/$E$10</f>
        <v>0.26917842861145375</v>
      </c>
      <c r="T2" s="70">
        <f t="shared" ref="T2" si="0">F2/F10</f>
        <v>0.38754630491259112</v>
      </c>
      <c r="U2" s="70">
        <f>G2/$G$10</f>
        <v>0.37511469216238097</v>
      </c>
      <c r="V2" s="70">
        <f>H2/$H$10</f>
        <v>0.38943581570337221</v>
      </c>
      <c r="W2" s="70">
        <f>I2/$I$10</f>
        <v>0.38034735278874598</v>
      </c>
      <c r="X2" s="70">
        <f>J2/$J$10</f>
        <v>0.39638403317876364</v>
      </c>
      <c r="Y2" s="70">
        <f>$K$2/K10</f>
        <v>0.42417665172904662</v>
      </c>
      <c r="Z2" s="70">
        <f>L2/$L$10</f>
        <v>0.4309006858454773</v>
      </c>
      <c r="AA2" s="70">
        <f>M2/$M$10</f>
        <v>0.40246454447515567</v>
      </c>
    </row>
    <row r="3" spans="1:27" x14ac:dyDescent="0.25">
      <c r="A3" s="43" t="s">
        <v>72</v>
      </c>
      <c r="B3" s="4">
        <v>16128</v>
      </c>
      <c r="C3" s="4">
        <v>112515</v>
      </c>
      <c r="D3" s="4">
        <v>108713</v>
      </c>
      <c r="E3" s="4">
        <v>114611</v>
      </c>
      <c r="F3" s="4">
        <v>111690</v>
      </c>
      <c r="G3" s="4">
        <v>139989</v>
      </c>
      <c r="H3" s="4">
        <v>97552</v>
      </c>
      <c r="I3" s="4">
        <v>131619</v>
      </c>
      <c r="J3" s="4">
        <v>167124</v>
      </c>
      <c r="K3" s="4">
        <v>164714</v>
      </c>
      <c r="L3" s="4">
        <f t="shared" ref="L3:L10" si="1">SUM(B3:D3)/3</f>
        <v>79118.666666666672</v>
      </c>
      <c r="M3" s="4">
        <f t="shared" ref="M3:M10" si="2">SUM(I3:K3)/3</f>
        <v>154485.66666666666</v>
      </c>
      <c r="P3" s="70">
        <f>B3/$B$10</f>
        <v>2.1011353791436781E-2</v>
      </c>
      <c r="Q3" s="70">
        <f>C3/$C$10</f>
        <v>0.19230834968448543</v>
      </c>
      <c r="R3" s="70">
        <f>D3/$D$10</f>
        <v>0.16118237673320759</v>
      </c>
      <c r="S3" s="70">
        <f>E3/$E$10</f>
        <v>0.20851481113573267</v>
      </c>
      <c r="T3" s="70">
        <f>F3/$F$10</f>
        <v>0.14237565553479148</v>
      </c>
      <c r="U3" s="70">
        <f t="shared" ref="U3:U9" si="3">G3/$G$10</f>
        <v>0.13492135394579591</v>
      </c>
      <c r="V3" s="70">
        <f>H3/$H$10</f>
        <v>7.4748480924394858E-2</v>
      </c>
      <c r="W3" s="70">
        <f>I3/$I$10</f>
        <v>0.10196312659342804</v>
      </c>
      <c r="X3" s="70">
        <f>J3/$J$10</f>
        <v>9.5840841030275847E-2</v>
      </c>
      <c r="Y3" s="70">
        <f>K3/$K$10</f>
        <v>9.1341485528845537E-2</v>
      </c>
      <c r="Z3" s="70">
        <f t="shared" ref="Z3:Z9" si="4">L3/$L$10</f>
        <v>0.11708950522733338</v>
      </c>
      <c r="AA3" s="70">
        <f t="shared" ref="AA3:AA9" si="5">M3/$M$10</f>
        <v>9.5797301800040174E-2</v>
      </c>
    </row>
    <row r="4" spans="1:27" x14ac:dyDescent="0.25">
      <c r="A4" s="43" t="s">
        <v>73</v>
      </c>
      <c r="B4" s="4">
        <v>3500</v>
      </c>
      <c r="C4" s="4">
        <v>2500</v>
      </c>
      <c r="D4" s="4">
        <v>2500</v>
      </c>
      <c r="E4" s="4">
        <v>2276</v>
      </c>
      <c r="F4" s="4">
        <v>2958</v>
      </c>
      <c r="G4" s="4">
        <v>2770</v>
      </c>
      <c r="H4" s="4">
        <v>1414</v>
      </c>
      <c r="I4" s="4">
        <v>5774</v>
      </c>
      <c r="J4" s="4">
        <v>16943</v>
      </c>
      <c r="K4" s="4">
        <v>6926</v>
      </c>
      <c r="L4" s="4">
        <f t="shared" si="1"/>
        <v>2833.3333333333335</v>
      </c>
      <c r="M4" s="4">
        <f t="shared" si="2"/>
        <v>9881</v>
      </c>
      <c r="P4" s="70">
        <f t="shared" ref="P4:P9" si="6">B4/$B$10</f>
        <v>4.5597555970999957E-3</v>
      </c>
      <c r="Q4" s="70">
        <f t="shared" ref="Q4:Q9" si="7">C4/$C$10</f>
        <v>4.2729491553234111E-3</v>
      </c>
      <c r="R4" s="70">
        <f t="shared" ref="R4:R9" si="8">D4/$D$10</f>
        <v>3.7066030910104498E-3</v>
      </c>
      <c r="S4" s="70">
        <f t="shared" ref="S4:S9" si="9">E4/$E$10</f>
        <v>4.140786749482402E-3</v>
      </c>
      <c r="T4" s="70">
        <f t="shared" ref="T4:T9" si="10">F4/$F$10</f>
        <v>3.7706794616520116E-3</v>
      </c>
      <c r="U4" s="70">
        <f t="shared" si="3"/>
        <v>2.6697251243301594E-3</v>
      </c>
      <c r="V4" s="70">
        <f t="shared" ref="V4:V9" si="11">H4/$H$10</f>
        <v>1.0834667872221414E-3</v>
      </c>
      <c r="W4" s="70">
        <f t="shared" ref="W4:W9" si="12">I4/$I$10</f>
        <v>4.4730251175776562E-3</v>
      </c>
      <c r="X4" s="70">
        <f t="shared" ref="X4:X9" si="13">J4/$J$10</f>
        <v>9.7163266172181351E-3</v>
      </c>
      <c r="Y4" s="70">
        <f t="shared" ref="Y4:Y9" si="14">K4/$K$10</f>
        <v>3.8407854145536156E-3</v>
      </c>
      <c r="Z4" s="70">
        <f t="shared" si="4"/>
        <v>4.1931141173272794E-3</v>
      </c>
      <c r="AA4" s="70">
        <f t="shared" si="5"/>
        <v>6.1272554244699963E-3</v>
      </c>
    </row>
    <row r="5" spans="1:27" x14ac:dyDescent="0.25">
      <c r="A5" s="43" t="s">
        <v>74</v>
      </c>
      <c r="B5" s="4">
        <v>229220</v>
      </c>
      <c r="C5" s="4">
        <v>206332</v>
      </c>
      <c r="D5" s="4">
        <v>211450</v>
      </c>
      <c r="E5" s="4">
        <v>237571</v>
      </c>
      <c r="F5" s="4">
        <v>260004</v>
      </c>
      <c r="G5" s="4">
        <v>364215</v>
      </c>
      <c r="H5" s="4">
        <v>533884</v>
      </c>
      <c r="I5" s="4">
        <v>460141</v>
      </c>
      <c r="J5" s="4">
        <v>638312</v>
      </c>
      <c r="K5" s="4">
        <v>634400</v>
      </c>
      <c r="L5" s="4">
        <f t="shared" si="1"/>
        <v>215667.33333333334</v>
      </c>
      <c r="M5" s="4">
        <f t="shared" si="2"/>
        <v>577617.66666666663</v>
      </c>
      <c r="P5" s="70">
        <f t="shared" si="6"/>
        <v>0.298624907990646</v>
      </c>
      <c r="Q5" s="70">
        <f t="shared" si="7"/>
        <v>0.352658458046476</v>
      </c>
      <c r="R5" s="70">
        <f t="shared" si="8"/>
        <v>0.31350448943766385</v>
      </c>
      <c r="S5" s="70">
        <f t="shared" si="9"/>
        <v>0.43221917788281355</v>
      </c>
      <c r="T5" s="70">
        <f t="shared" si="10"/>
        <v>0.3314373707732825</v>
      </c>
      <c r="U5" s="70">
        <f t="shared" si="3"/>
        <v>0.35103030186206097</v>
      </c>
      <c r="V5" s="70">
        <f t="shared" si="11"/>
        <v>0.40908457017631239</v>
      </c>
      <c r="W5" s="70">
        <f t="shared" si="12"/>
        <v>0.35646384666215802</v>
      </c>
      <c r="X5" s="70">
        <f t="shared" si="13"/>
        <v>0.36605370215957878</v>
      </c>
      <c r="Y5" s="70">
        <f t="shared" si="14"/>
        <v>0.35180396578007705</v>
      </c>
      <c r="Z5" s="70">
        <f t="shared" si="4"/>
        <v>0.31917096707517467</v>
      </c>
      <c r="AA5" s="70">
        <f t="shared" si="5"/>
        <v>0.35818348156593816</v>
      </c>
    </row>
    <row r="6" spans="1:27" x14ac:dyDescent="0.25">
      <c r="A6" s="43" t="s">
        <v>75</v>
      </c>
      <c r="B6" s="4">
        <v>12422</v>
      </c>
      <c r="C6" s="4">
        <v>12155</v>
      </c>
      <c r="D6" s="4">
        <v>11802</v>
      </c>
      <c r="E6" s="4">
        <v>405</v>
      </c>
      <c r="F6" s="4">
        <v>12919</v>
      </c>
      <c r="G6" s="4">
        <v>12847</v>
      </c>
      <c r="H6" s="4">
        <v>12628</v>
      </c>
      <c r="I6" s="4">
        <v>11560</v>
      </c>
      <c r="J6" s="4">
        <v>11022</v>
      </c>
      <c r="K6" s="4">
        <v>13177</v>
      </c>
      <c r="L6" s="4">
        <f t="shared" si="1"/>
        <v>12126.333333333334</v>
      </c>
      <c r="M6" s="4">
        <f t="shared" si="2"/>
        <v>11919.666666666666</v>
      </c>
      <c r="P6" s="70">
        <f t="shared" si="6"/>
        <v>1.6183224007764611E-2</v>
      </c>
      <c r="Q6" s="70">
        <f t="shared" si="7"/>
        <v>2.0775078793182425E-2</v>
      </c>
      <c r="R6" s="70">
        <f t="shared" si="8"/>
        <v>1.749813187204213E-2</v>
      </c>
      <c r="S6" s="70">
        <f t="shared" si="9"/>
        <v>7.3682716763636758E-4</v>
      </c>
      <c r="T6" s="70">
        <f t="shared" si="10"/>
        <v>1.6468359690697206E-2</v>
      </c>
      <c r="U6" s="70">
        <f t="shared" si="3"/>
        <v>1.2381934538725471E-2</v>
      </c>
      <c r="V6" s="70">
        <f t="shared" si="11"/>
        <v>9.6761093274690246E-3</v>
      </c>
      <c r="W6" s="70">
        <f t="shared" si="12"/>
        <v>8.955346442535107E-3</v>
      </c>
      <c r="X6" s="70">
        <f t="shared" si="13"/>
        <v>6.3208022177287547E-3</v>
      </c>
      <c r="Y6" s="70">
        <f t="shared" si="14"/>
        <v>7.3072522967907866E-3</v>
      </c>
      <c r="Z6" s="70">
        <f t="shared" si="4"/>
        <v>1.7946035114617544E-2</v>
      </c>
      <c r="AA6" s="70">
        <f t="shared" si="5"/>
        <v>7.3914423885444317E-3</v>
      </c>
    </row>
    <row r="7" spans="1:27" x14ac:dyDescent="0.25">
      <c r="A7" s="43" t="s">
        <v>76</v>
      </c>
      <c r="B7" s="4">
        <v>78360</v>
      </c>
      <c r="C7" s="4">
        <v>62696</v>
      </c>
      <c r="D7" s="4">
        <v>41593</v>
      </c>
      <c r="E7" s="4">
        <v>32203</v>
      </c>
      <c r="F7" s="4">
        <v>56410</v>
      </c>
      <c r="G7" s="4">
        <v>88861</v>
      </c>
      <c r="H7" s="4">
        <v>98560</v>
      </c>
      <c r="I7" s="4">
        <v>94473</v>
      </c>
      <c r="J7" s="4">
        <v>113738</v>
      </c>
      <c r="K7" s="4">
        <v>108788</v>
      </c>
      <c r="L7" s="4">
        <f t="shared" si="1"/>
        <v>60883</v>
      </c>
      <c r="M7" s="4">
        <f t="shared" si="2"/>
        <v>105666.33333333333</v>
      </c>
      <c r="P7" s="70">
        <f t="shared" si="6"/>
        <v>0.10208641388250161</v>
      </c>
      <c r="Q7" s="70">
        <f t="shared" si="7"/>
        <v>0.10715872809686262</v>
      </c>
      <c r="R7" s="70">
        <f t="shared" si="8"/>
        <v>6.166749694575905E-2</v>
      </c>
      <c r="S7" s="70">
        <f t="shared" si="9"/>
        <v>5.8587766121960358E-2</v>
      </c>
      <c r="T7" s="70">
        <f t="shared" si="10"/>
        <v>7.1908055588840419E-2</v>
      </c>
      <c r="U7" s="70">
        <f t="shared" si="3"/>
        <v>8.5644203708701183E-2</v>
      </c>
      <c r="V7" s="70">
        <f t="shared" si="11"/>
        <v>7.5520853287563125E-2</v>
      </c>
      <c r="W7" s="70">
        <f t="shared" si="12"/>
        <v>7.3186716649275008E-2</v>
      </c>
      <c r="X7" s="70">
        <f t="shared" si="13"/>
        <v>6.5225494705138193E-2</v>
      </c>
      <c r="Y7" s="70">
        <f t="shared" si="14"/>
        <v>6.0327947397987108E-2</v>
      </c>
      <c r="Z7" s="70">
        <f t="shared" si="4"/>
        <v>9.0102129460671795E-2</v>
      </c>
      <c r="AA7" s="70">
        <f t="shared" si="5"/>
        <v>6.5524199382706344E-2</v>
      </c>
    </row>
    <row r="8" spans="1:27" x14ac:dyDescent="0.25">
      <c r="A8" s="43" t="s">
        <v>77</v>
      </c>
      <c r="B8" s="4">
        <v>0</v>
      </c>
      <c r="C8" s="4">
        <v>0</v>
      </c>
      <c r="D8" s="4">
        <v>0</v>
      </c>
      <c r="E8" s="4">
        <v>1874</v>
      </c>
      <c r="F8" s="4">
        <v>2653</v>
      </c>
      <c r="G8" s="4">
        <v>6584</v>
      </c>
      <c r="H8" s="4">
        <v>7581</v>
      </c>
      <c r="I8" s="4">
        <v>10470</v>
      </c>
      <c r="J8" s="4">
        <v>10070</v>
      </c>
      <c r="K8" s="4">
        <v>11718</v>
      </c>
      <c r="L8" s="4">
        <f t="shared" si="1"/>
        <v>0</v>
      </c>
      <c r="M8" s="4">
        <f t="shared" si="2"/>
        <v>10752.666666666666</v>
      </c>
      <c r="P8" s="70">
        <f t="shared" si="6"/>
        <v>0</v>
      </c>
      <c r="Q8" s="70">
        <f t="shared" si="7"/>
        <v>0</v>
      </c>
      <c r="R8" s="70">
        <f t="shared" si="8"/>
        <v>0</v>
      </c>
      <c r="S8" s="70">
        <f t="shared" si="9"/>
        <v>3.4094175608655629E-3</v>
      </c>
      <c r="T8" s="70">
        <f t="shared" si="10"/>
        <v>3.3818839120225781E-3</v>
      </c>
      <c r="U8" s="70">
        <f t="shared" si="3"/>
        <v>6.3456571186244655E-3</v>
      </c>
      <c r="V8" s="70">
        <f t="shared" si="11"/>
        <v>5.8088838146612828E-3</v>
      </c>
      <c r="W8" s="70">
        <f t="shared" si="12"/>
        <v>8.1109409388704645E-3</v>
      </c>
      <c r="X8" s="70">
        <f t="shared" si="13"/>
        <v>5.7748574063263072E-3</v>
      </c>
      <c r="Y8" s="70">
        <f t="shared" si="14"/>
        <v>6.4981697210134658E-3</v>
      </c>
      <c r="Z8" s="70">
        <f t="shared" si="4"/>
        <v>0</v>
      </c>
      <c r="AA8" s="70">
        <f t="shared" si="5"/>
        <v>6.6677800992663737E-3</v>
      </c>
    </row>
    <row r="9" spans="1:27" s="48" customFormat="1" x14ac:dyDescent="0.25">
      <c r="A9" s="46" t="s">
        <v>78</v>
      </c>
      <c r="B9" s="48">
        <v>10565</v>
      </c>
      <c r="C9" s="48">
        <v>10777</v>
      </c>
      <c r="D9" s="48">
        <v>10384</v>
      </c>
      <c r="E9" s="48">
        <v>12759</v>
      </c>
      <c r="F9" s="48">
        <v>33820</v>
      </c>
      <c r="G9" s="48">
        <v>33090</v>
      </c>
      <c r="H9" s="48">
        <v>45210</v>
      </c>
      <c r="I9" s="48">
        <v>73520</v>
      </c>
      <c r="J9" s="48">
        <v>71652</v>
      </c>
      <c r="K9" s="48">
        <v>68458</v>
      </c>
      <c r="L9" s="4">
        <f t="shared" si="1"/>
        <v>10575.333333333334</v>
      </c>
      <c r="M9" s="4">
        <f t="shared" si="2"/>
        <v>71210</v>
      </c>
      <c r="P9" s="70">
        <f t="shared" si="6"/>
        <v>1.3763947966674701E-2</v>
      </c>
      <c r="Q9" s="70">
        <f t="shared" si="7"/>
        <v>1.8419829218768159E-2</v>
      </c>
      <c r="R9" s="70">
        <f t="shared" si="8"/>
        <v>1.5395746598821003E-2</v>
      </c>
      <c r="S9" s="70">
        <f t="shared" si="9"/>
        <v>2.3212784770055343E-2</v>
      </c>
      <c r="T9" s="70">
        <f t="shared" si="10"/>
        <v>4.3111690126122724E-2</v>
      </c>
      <c r="U9" s="70">
        <f t="shared" si="3"/>
        <v>3.1892131539380857E-2</v>
      </c>
      <c r="V9" s="70">
        <f t="shared" si="11"/>
        <v>3.4641819979004958E-2</v>
      </c>
      <c r="W9" s="70">
        <f t="shared" si="12"/>
        <v>5.6954763880205976E-2</v>
      </c>
      <c r="X9" s="70">
        <f t="shared" si="13"/>
        <v>4.1090375658201846E-2</v>
      </c>
      <c r="Y9" s="70">
        <f t="shared" si="14"/>
        <v>3.7963108274546839E-2</v>
      </c>
      <c r="Z9" s="70">
        <f t="shared" si="4"/>
        <v>1.5650675116038269E-2</v>
      </c>
      <c r="AA9" s="70">
        <f t="shared" si="5"/>
        <v>4.4157662056118652E-2</v>
      </c>
    </row>
    <row r="10" spans="1:27" s="56" customFormat="1" x14ac:dyDescent="0.25">
      <c r="A10" s="61" t="s">
        <v>79</v>
      </c>
      <c r="B10" s="56">
        <v>767585</v>
      </c>
      <c r="C10" s="56">
        <v>585076</v>
      </c>
      <c r="D10" s="56">
        <v>674472</v>
      </c>
      <c r="E10" s="56">
        <v>549654</v>
      </c>
      <c r="F10" s="56">
        <v>784474</v>
      </c>
      <c r="G10" s="56">
        <v>1037560</v>
      </c>
      <c r="H10" s="56">
        <v>1305070</v>
      </c>
      <c r="I10" s="56">
        <v>1290849</v>
      </c>
      <c r="J10" s="56">
        <v>1743766</v>
      </c>
      <c r="K10" s="56">
        <v>1803277</v>
      </c>
      <c r="L10" s="56">
        <f t="shared" si="1"/>
        <v>675711</v>
      </c>
      <c r="M10" s="56">
        <f t="shared" si="2"/>
        <v>1612630.6666666667</v>
      </c>
    </row>
  </sheetData>
  <pageMargins left="0.7" right="0.7" top="0.75" bottom="0.75" header="0.3" footer="0.3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AusAID Exp by mode of delivery</vt:lpstr>
      <vt:lpstr>Composition of Australian ODA</vt:lpstr>
      <vt:lpstr>Breakdown of multilaterals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parima panpruet</dc:creator>
  <cp:lastModifiedBy>Jonathan Pryke</cp:lastModifiedBy>
  <dcterms:created xsi:type="dcterms:W3CDTF">2013-09-16T09:13:15Z</dcterms:created>
  <dcterms:modified xsi:type="dcterms:W3CDTF">2013-09-26T03:11:48Z</dcterms:modified>
</cp:coreProperties>
</file>