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376" windowHeight="9180" tabRatio="934" activeTab="5"/>
  </bookViews>
  <sheets>
    <sheet name="Master" sheetId="24" r:id="rId1"/>
    <sheet name="Historical" sheetId="26" r:id="rId2"/>
    <sheet name="Figure 1" sheetId="29" r:id="rId3"/>
    <sheet name="Figure 2" sheetId="31" r:id="rId4"/>
    <sheet name="Non-DAC" sheetId="32" r:id="rId5"/>
    <sheet name="Figure 3" sheetId="35" r:id="rId6"/>
  </sheets>
  <definedNames>
    <definedName name="_xlnm.Print_Area" localSheetId="4">'Non-DAC'!$A$3:$I$22</definedName>
    <definedName name="Z_A1F1D961_6AC6_4318_89E2_BBBF0B1BA979_.wvu.Rows" localSheetId="0" hidden="1">Master!#REF!</definedName>
  </definedNames>
  <calcPr calcId="145621" concurrentCalc="0"/>
  <customWorkbookViews>
    <customWorkbookView name="Maria Michelle LA O - Personal View" guid="{20689BA6-F4DF-4946-9B4D-502B9EDFFED0}" mergeInterval="0" personalView="1" xWindow="39" yWindow="68" windowWidth="892" windowHeight="662" tabRatio="923" activeSheetId="7" showFormulaBar="0"/>
    <customWorkbookView name="Robin Davies - Personal View" guid="{A1F1D961-6AC6-4318-89E2-BBBF0B1BA979}" mergeInterval="0" personalView="1" yWindow="54" windowWidth="1440" windowHeight="752" tabRatio="934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4" l="1"/>
  <c r="K3" i="24"/>
  <c r="I4" i="24"/>
  <c r="K4" i="24"/>
  <c r="I5" i="24"/>
  <c r="K5" i="24"/>
  <c r="I6" i="24"/>
  <c r="K6" i="24"/>
  <c r="I7" i="24"/>
  <c r="K7" i="24"/>
  <c r="I8" i="24"/>
  <c r="K8" i="24"/>
  <c r="I9" i="24"/>
  <c r="K9" i="24"/>
  <c r="I10" i="24"/>
  <c r="K10" i="24"/>
  <c r="I11" i="24"/>
  <c r="K11" i="24"/>
  <c r="I12" i="24"/>
  <c r="K12" i="24"/>
  <c r="I13" i="24"/>
  <c r="K13" i="24"/>
  <c r="I14" i="24"/>
  <c r="K14" i="24"/>
  <c r="I15" i="24"/>
  <c r="K15" i="24"/>
  <c r="I16" i="24"/>
  <c r="K16" i="24"/>
  <c r="I17" i="24"/>
  <c r="K17" i="24"/>
  <c r="K19" i="24"/>
  <c r="F19" i="24"/>
  <c r="N24" i="24"/>
  <c r="L19" i="24"/>
  <c r="N25" i="24"/>
  <c r="N20" i="24"/>
  <c r="N26" i="24"/>
  <c r="F54" i="32"/>
  <c r="E54" i="32"/>
  <c r="D54" i="32"/>
  <c r="C54" i="32"/>
  <c r="B54" i="32"/>
  <c r="F53" i="32"/>
  <c r="E53" i="32"/>
  <c r="D53" i="32"/>
  <c r="C53" i="32"/>
  <c r="B53" i="32"/>
  <c r="F95" i="32"/>
  <c r="E95" i="32"/>
  <c r="D95" i="32"/>
  <c r="C95" i="32"/>
  <c r="B95" i="32"/>
  <c r="F14" i="32"/>
  <c r="E14" i="32"/>
  <c r="D14" i="32"/>
  <c r="C14" i="32"/>
  <c r="B14" i="32"/>
  <c r="B37" i="32"/>
  <c r="C37" i="32"/>
  <c r="D37" i="32"/>
  <c r="E37" i="32"/>
  <c r="F37" i="32"/>
  <c r="B52" i="32"/>
  <c r="C52" i="32"/>
  <c r="D52" i="32"/>
  <c r="E52" i="32"/>
  <c r="F52" i="32"/>
  <c r="B22" i="24"/>
  <c r="D22" i="24"/>
  <c r="D20" i="24"/>
  <c r="B19" i="24"/>
  <c r="D19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L20" i="24"/>
  <c r="B18" i="26"/>
  <c r="L5" i="24"/>
  <c r="M5" i="24"/>
  <c r="N5" i="24"/>
  <c r="Q5" i="24"/>
  <c r="S5" i="24"/>
  <c r="L7" i="24"/>
  <c r="M7" i="24"/>
  <c r="N7" i="24"/>
  <c r="Q7" i="24"/>
  <c r="S7" i="24"/>
  <c r="L9" i="24"/>
  <c r="M9" i="24"/>
  <c r="N9" i="24"/>
  <c r="Q9" i="24"/>
  <c r="S9" i="24"/>
  <c r="L11" i="24"/>
  <c r="M11" i="24"/>
  <c r="N11" i="24"/>
  <c r="Q11" i="24"/>
  <c r="S11" i="24"/>
  <c r="L13" i="24"/>
  <c r="M13" i="24"/>
  <c r="N13" i="24"/>
  <c r="Q13" i="24"/>
  <c r="S13" i="24"/>
  <c r="L15" i="24"/>
  <c r="M15" i="24"/>
  <c r="N15" i="24"/>
  <c r="Q15" i="24"/>
  <c r="S15" i="24"/>
  <c r="L17" i="24"/>
  <c r="M17" i="24"/>
  <c r="N17" i="24"/>
  <c r="Q17" i="24"/>
  <c r="S17" i="24"/>
  <c r="C32" i="24"/>
  <c r="L16" i="24"/>
  <c r="M16" i="24"/>
  <c r="N16" i="24"/>
  <c r="Q16" i="24"/>
  <c r="S16" i="24"/>
  <c r="L14" i="24"/>
  <c r="M14" i="24"/>
  <c r="N14" i="24"/>
  <c r="Q14" i="24"/>
  <c r="S14" i="24"/>
  <c r="L12" i="24"/>
  <c r="M12" i="24"/>
  <c r="N12" i="24"/>
  <c r="Q12" i="24"/>
  <c r="S12" i="24"/>
  <c r="L10" i="24"/>
  <c r="M10" i="24"/>
  <c r="N10" i="24"/>
  <c r="Q10" i="24"/>
  <c r="S10" i="24"/>
  <c r="L8" i="24"/>
  <c r="M8" i="24"/>
  <c r="N8" i="24"/>
  <c r="Q8" i="24"/>
  <c r="S8" i="24"/>
  <c r="L6" i="24"/>
  <c r="M6" i="24"/>
  <c r="N6" i="24"/>
  <c r="Q6" i="24"/>
  <c r="S6" i="24"/>
  <c r="L4" i="24"/>
  <c r="M4" i="24"/>
  <c r="N4" i="24"/>
  <c r="Q4" i="24"/>
  <c r="S4" i="24"/>
  <c r="Q3" i="24"/>
  <c r="F22" i="24"/>
  <c r="O22" i="24"/>
  <c r="C22" i="24"/>
  <c r="Q22" i="24"/>
  <c r="P22" i="24"/>
  <c r="Q19" i="24"/>
  <c r="O19" i="24"/>
  <c r="P19" i="24"/>
  <c r="P20" i="24"/>
  <c r="Q20" i="24"/>
  <c r="C20" i="24"/>
  <c r="C19" i="24"/>
  <c r="K22" i="24"/>
  <c r="L22" i="24"/>
  <c r="M22" i="24"/>
  <c r="N22" i="24"/>
  <c r="S22" i="24"/>
  <c r="L3" i="24"/>
  <c r="M3" i="24"/>
  <c r="N3" i="24"/>
  <c r="M19" i="24"/>
  <c r="S20" i="24"/>
  <c r="M20" i="24"/>
  <c r="S3" i="24"/>
  <c r="N19" i="24"/>
  <c r="S19" i="24"/>
</calcChain>
</file>

<file path=xl/comments1.xml><?xml version="1.0" encoding="utf-8"?>
<comments xmlns="http://schemas.openxmlformats.org/spreadsheetml/2006/main">
  <authors>
    <author>Robin Davies</author>
    <author>Maria La O</author>
  </authors>
  <commentList>
    <comment ref="R4" authorId="0">
      <text>
        <r>
          <rPr>
            <b/>
            <sz val="9"/>
            <color indexed="81"/>
            <rFont val="Tahoma"/>
            <family val="2"/>
          </rPr>
          <t>Robin Davies: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>Robin Davies: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2" authorId="1">
      <text>
        <r>
          <rPr>
            <b/>
            <sz val="9"/>
            <color indexed="81"/>
            <rFont val="Tahoma"/>
            <family val="2"/>
          </rPr>
          <t>Maria La O:</t>
        </r>
        <r>
          <rPr>
            <sz val="9"/>
            <color indexed="81"/>
            <rFont val="Tahoma"/>
            <family val="2"/>
          </rPr>
          <t xml:space="preserve">
Can see that the British aid scale up has had very signficant impact on total ODA</t>
        </r>
      </text>
    </comment>
  </commentList>
</comments>
</file>

<file path=xl/sharedStrings.xml><?xml version="1.0" encoding="utf-8"?>
<sst xmlns="http://schemas.openxmlformats.org/spreadsheetml/2006/main" count="197" uniqueCount="170">
  <si>
    <t>United States</t>
  </si>
  <si>
    <t>Belgium</t>
  </si>
  <si>
    <t>Netherlands</t>
  </si>
  <si>
    <t>Sweden</t>
  </si>
  <si>
    <t>Canada</t>
  </si>
  <si>
    <t>Switzerland</t>
  </si>
  <si>
    <t>Denmark</t>
  </si>
  <si>
    <t>Norway</t>
  </si>
  <si>
    <t>Australia</t>
  </si>
  <si>
    <t>Germany</t>
  </si>
  <si>
    <t>Spain</t>
  </si>
  <si>
    <t>Italy</t>
  </si>
  <si>
    <t>Japan</t>
  </si>
  <si>
    <t>United Kingdom</t>
  </si>
  <si>
    <t>France</t>
  </si>
  <si>
    <t>All DAC</t>
  </si>
  <si>
    <t>Real change from 2012 pledges to 2013 pledges (%)</t>
  </si>
  <si>
    <t>Top 15 minus UK</t>
  </si>
  <si>
    <t>2013 ODA pledges at 2012 prices ($US billion)</t>
  </si>
  <si>
    <t>Countries</t>
  </si>
  <si>
    <t>2013 ODA pledges at 2012 prices (national currencies, billions)</t>
  </si>
  <si>
    <t>DAC annual $US exchange rates for 2012</t>
  </si>
  <si>
    <t>Projected 2013 ODA/GNI</t>
  </si>
  <si>
    <t>2012 ODA outcome at 2012 prices ($US billion)</t>
  </si>
  <si>
    <t>2012 ODA pledges at 2012 prices ($US billion)</t>
  </si>
  <si>
    <t>2013 ODA pledges at 2013 prices (national currencies, billions)</t>
  </si>
  <si>
    <t>Projected 2013 ODA at 2012 prices ($US billion)</t>
  </si>
  <si>
    <t>Projected 2013 change in ODA at 2012 prices ($US billion)</t>
  </si>
  <si>
    <t>Projected GNI in 2013 at 2012 prices ($US billion)</t>
  </si>
  <si>
    <t>Intended 2013 ODA/GNI (where available)</t>
  </si>
  <si>
    <t>All top 15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</si>
  <si>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</si>
  <si>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</si>
  <si>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</si>
  <si>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</si>
  <si>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</si>
  <si>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</si>
  <si>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</si>
  <si>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</si>
  <si>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</si>
  <si>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</si>
  <si>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</si>
  <si>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</si>
  <si>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</si>
  <si>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</si>
  <si>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</si>
  <si>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</si>
  <si>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</si>
  <si>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</si>
  <si>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GNI in 2012 at 2012 prices ($US billion)</t>
  </si>
  <si>
    <t>Jul-Jun</t>
    <phoneticPr fontId="11" type="noConversion"/>
  </si>
  <si>
    <t>Jan-Dec</t>
    <phoneticPr fontId="11" type="noConversion"/>
  </si>
  <si>
    <t>Apr-Mar</t>
    <phoneticPr fontId="11" type="noConversion"/>
  </si>
  <si>
    <t>Oct-Sept</t>
    <phoneticPr fontId="11" type="noConversion"/>
  </si>
  <si>
    <t>Fiscal year</t>
  </si>
  <si>
    <t>Column182</t>
  </si>
  <si>
    <r>
      <rPr>
        <i/>
        <sz val="8"/>
        <color theme="1"/>
        <rFont val="Calibri"/>
        <family val="2"/>
        <scheme val="minor"/>
      </rPr>
      <t>Exchange rates</t>
    </r>
    <r>
      <rPr>
        <sz val="8"/>
        <color theme="1"/>
        <rFont val="Calibri"/>
        <family val="2"/>
        <scheme val="minor"/>
      </rPr>
      <t>: DAC annual exchange rates for 2012, as at April 2013</t>
    </r>
  </si>
  <si>
    <t>Sources:</t>
  </si>
  <si>
    <t>Year</t>
  </si>
  <si>
    <t>ODA (left axis)</t>
  </si>
  <si>
    <t>ODA/GNI (right axis)</t>
  </si>
  <si>
    <t>Flow(s): ODA</t>
  </si>
  <si>
    <t>Recipient(s): All Recipients</t>
  </si>
  <si>
    <t>Sector(s): Total Bilateral Aid To All Sectors</t>
  </si>
  <si>
    <t>Flow Type(s): Disbursement</t>
  </si>
  <si>
    <t>Amount: Constant Prices (2011 USD millions)</t>
  </si>
  <si>
    <t>Column32</t>
  </si>
  <si>
    <t>Real change from 2011 to 2012 ($US billion)</t>
  </si>
  <si>
    <t>Real change from 2011 to 2012 (%)</t>
  </si>
  <si>
    <r>
      <rPr>
        <i/>
        <sz val="8"/>
        <color theme="1"/>
        <rFont val="Calibri"/>
        <family val="2"/>
        <scheme val="minor"/>
      </rPr>
      <t>2012 ODA and GNI figures</t>
    </r>
    <r>
      <rPr>
        <sz val="8"/>
        <color theme="1"/>
        <rFont val="Calibri"/>
        <family val="2"/>
        <scheme val="minor"/>
      </rPr>
      <t>: OECD preliminary data on 2012 flows, April 2013</t>
    </r>
  </si>
  <si>
    <t>Net grants by NGOs</t>
  </si>
  <si>
    <t>TOTAL</t>
  </si>
  <si>
    <t>..</t>
  </si>
  <si>
    <t>Total Arab</t>
  </si>
  <si>
    <t>United Arab Emirates</t>
  </si>
  <si>
    <t>Thailand</t>
  </si>
  <si>
    <t>Saudi Arabia</t>
  </si>
  <si>
    <t>Russia</t>
  </si>
  <si>
    <t>Romania</t>
  </si>
  <si>
    <t>Malta</t>
  </si>
  <si>
    <t>Lithuania</t>
  </si>
  <si>
    <t>Liechtenstein</t>
  </si>
  <si>
    <t>Latvia</t>
  </si>
  <si>
    <t>Kuwait (KFAED)</t>
  </si>
  <si>
    <t>Cyprus (3,4)</t>
  </si>
  <si>
    <t>Chinese Taipei</t>
  </si>
  <si>
    <t>Bulgaria</t>
  </si>
  <si>
    <t>Other donors</t>
  </si>
  <si>
    <t>Total</t>
  </si>
  <si>
    <t>Turkey</t>
  </si>
  <si>
    <t>Slovenia</t>
  </si>
  <si>
    <t>Slovak Republic</t>
  </si>
  <si>
    <t>Poland</t>
  </si>
  <si>
    <t>Israel (1,2)</t>
  </si>
  <si>
    <t>Iceland</t>
  </si>
  <si>
    <t>Hungary</t>
  </si>
  <si>
    <t>Estonia</t>
  </si>
  <si>
    <t>Czech Republic</t>
  </si>
  <si>
    <t>OECD Non-DAC</t>
  </si>
  <si>
    <t>(%)</t>
  </si>
  <si>
    <t>(USD million)</t>
  </si>
  <si>
    <t xml:space="preserve">ODA/GNI </t>
  </si>
  <si>
    <t xml:space="preserve">Share of bilateral aid </t>
  </si>
  <si>
    <t>Net disbursements</t>
  </si>
  <si>
    <t>Table 33. ODA from Non-DAC Donors</t>
  </si>
  <si>
    <t>3) Figures for India and South Africa are based on their fiscal years. 2011 data corresponds to fiscal year 2011/2012.</t>
  </si>
  <si>
    <t>2) Brazil has not published complete figures on its development cooperation in 2010 and 2011.</t>
  </si>
  <si>
    <t>1) The Russian Federation began reporting its ODA figures to the DAC in 2011 on 2010 flows (see Table 33a).</t>
  </si>
  <si>
    <t>Estimates of Public Expenditures 2010-2012, National Treasury, South Africa.</t>
  </si>
  <si>
    <t>South Africa</t>
  </si>
  <si>
    <t>Annual Reports, Ministry of Foreign Affairs, India.</t>
  </si>
  <si>
    <t>India</t>
  </si>
  <si>
    <t>Fiscal Yearbook, Ministry of Finance, China.</t>
  </si>
  <si>
    <t>China</t>
  </si>
  <si>
    <t>Office of the Presidency, Brazil.</t>
  </si>
  <si>
    <t>n.a.</t>
  </si>
  <si>
    <t>Brazil</t>
  </si>
  <si>
    <t xml:space="preserve">Estimates on ODA-like flows as published in national publications </t>
  </si>
  <si>
    <t>Reporting by Russia to the DAC</t>
  </si>
  <si>
    <t>ODA as reported to the DAC</t>
  </si>
  <si>
    <t>Source</t>
  </si>
  <si>
    <t>Country</t>
  </si>
  <si>
    <t>Current USD Millions</t>
  </si>
  <si>
    <t>Table 33a. Estimate of gross concessional flows for development co-operation ("ODA-like" flows) from the BRICS</t>
  </si>
  <si>
    <t>Table 2.  Total Net Flows from DAC Countries by Type of Flow</t>
  </si>
  <si>
    <t>Net disbursements at current prices and exchange rates</t>
  </si>
  <si>
    <t xml:space="preserve"> </t>
  </si>
  <si>
    <t>USD million</t>
  </si>
  <si>
    <t>Per cent of total</t>
  </si>
  <si>
    <t>1995-1996 average</t>
  </si>
  <si>
    <t>2000-2001 average</t>
  </si>
  <si>
    <t>Official Development Assistance</t>
  </si>
  <si>
    <t>Bilateral ODA</t>
  </si>
  <si>
    <t>General budget support</t>
  </si>
  <si>
    <t>Core support to national NGOs</t>
  </si>
  <si>
    <t>Investment projects</t>
  </si>
  <si>
    <t>Debt relief grants</t>
  </si>
  <si>
    <t>Administrative costs</t>
  </si>
  <si>
    <t>Other in-donor expenditures (a)</t>
  </si>
  <si>
    <t>Contributions to multilateral institutions</t>
  </si>
  <si>
    <t>UN</t>
  </si>
  <si>
    <t>EU</t>
  </si>
  <si>
    <t>IDA</t>
  </si>
  <si>
    <t>Regional development banks</t>
  </si>
  <si>
    <t>Other Official Flows</t>
  </si>
  <si>
    <t>Bilateral</t>
  </si>
  <si>
    <t>Multilateral</t>
  </si>
  <si>
    <t>Private Flows at market terms</t>
  </si>
  <si>
    <t>Direct investment</t>
  </si>
  <si>
    <t>Bilateral portfolio investment</t>
  </si>
  <si>
    <t>Multilateral portfolio investment</t>
  </si>
  <si>
    <t>Export credits</t>
  </si>
  <si>
    <t>TOTAL NET FLOWS</t>
  </si>
  <si>
    <t xml:space="preserve">Total net flows at 2010 prices </t>
  </si>
  <si>
    <t>and exchange rates (b)</t>
  </si>
  <si>
    <t xml:space="preserve">Source of private flows:  DAC Members' reporting to the annual DAC Questionnaire on total official and private flows. </t>
  </si>
  <si>
    <t>Sources: DAC tables</t>
  </si>
  <si>
    <r>
      <rPr>
        <b/>
        <i/>
        <sz val="8"/>
        <rFont val="Calibri"/>
        <family val="2"/>
        <scheme val="minor"/>
      </rPr>
      <t>Memo</t>
    </r>
    <r>
      <rPr>
        <b/>
        <sz val="8"/>
        <rFont val="Calibri"/>
        <family val="2"/>
        <scheme val="minor"/>
      </rPr>
      <t>: 2011</t>
    </r>
  </si>
  <si>
    <r>
      <t xml:space="preserve">a) </t>
    </r>
    <r>
      <rPr>
        <sz val="8"/>
        <rFont val="Calibri"/>
        <family val="2"/>
        <scheme val="minor"/>
      </rPr>
      <t>Includes devepment awareness and refugees in donor countries.</t>
    </r>
  </si>
  <si>
    <r>
      <t xml:space="preserve">b) </t>
    </r>
    <r>
      <rPr>
        <sz val="8"/>
        <rFont val="Calibri"/>
        <family val="2"/>
        <scheme val="minor"/>
      </rPr>
      <t>Deflated by the total DAC deflator.</t>
    </r>
  </si>
  <si>
    <t>GRAND TOTAL</t>
  </si>
  <si>
    <t>All non-DAC sources above</t>
  </si>
  <si>
    <t>Total non-Arab (excl. Russia)</t>
  </si>
  <si>
    <t>Upper estimate:</t>
  </si>
  <si>
    <t>Lower estimate:</t>
  </si>
  <si>
    <t>Difference:</t>
  </si>
  <si>
    <t>2012 ODA/GNI (%)</t>
  </si>
  <si>
    <t>Inflation, 2013 (%)</t>
  </si>
  <si>
    <t>Projected GDP growth in 2013</t>
  </si>
  <si>
    <r>
      <rPr>
        <i/>
        <sz val="8"/>
        <rFont val="Calibri"/>
        <family val="2"/>
        <scheme val="minor"/>
      </rPr>
      <t>Inflation and GDP growth estimates</t>
    </r>
    <r>
      <rPr>
        <sz val="8"/>
        <rFont val="Calibri"/>
        <family val="2"/>
        <scheme val="minor"/>
      </rPr>
      <t>: IMF World Economic Outlook, April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</si>
</sst>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.00_);_(* \(#,##0.00\);_(* &quot;-&quot;??_);_(@_)"/>
    <numFmt numFmtId="165" formatCode="0.0%"/>
    <numFmt numFmtId="166" formatCode="0.000"/>
    <numFmt numFmtId="167" formatCode="###\ ##0;\-###\ ##0;0;"/>
    <numFmt numFmtId="168" formatCode="#\ ###_M"/>
    <numFmt numFmtId="169" formatCode="General_)"/>
    <numFmt numFmtId="170" formatCode="_M_M@_M"/>
    <numFmt numFmtId="171" formatCode="_(* #\ ##0_);_(* #\ ##0_;_(* &quot;..&quot;_);_(@_)"/>
    <numFmt numFmtId="172" formatCode="_(* #\ ##0_);_(* \-#\ ##0_);_(* &quot;..&quot;_);_(@_)"/>
    <numFmt numFmtId="173" formatCode="\I\._M@"/>
    <numFmt numFmtId="174" formatCode="0_M_M;\-0_M_M"/>
    <numFmt numFmtId="175" formatCode="_I_._M&quot;1.&quot;_M@"/>
    <numFmt numFmtId="176" formatCode="_I_._M_1_._M&quot;of which:&quot;_M@"/>
    <numFmt numFmtId="177" formatCode="_I_._M_1_._M_o_f_ _w_h_i_c_h_:_M@"/>
    <numFmt numFmtId="178" formatCode="_I_._M&quot;2.&quot;_M@"/>
    <numFmt numFmtId="179" formatCode="\I\I\._M@"/>
    <numFmt numFmtId="180" formatCode="\I\I\I\._M@"/>
    <numFmt numFmtId="181" formatCode="_I_._M&quot;3.&quot;_M@"/>
    <numFmt numFmtId="182" formatCode="_I_._M&quot;4.&quot;_M@"/>
    <numFmt numFmtId="183" formatCode="\I\V\._M@"/>
    <numFmt numFmtId="184" formatCode="0_M_M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Verdana"/>
      <family val="2"/>
    </font>
    <font>
      <sz val="10"/>
      <name val="Courier"/>
      <family val="3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1" applyNumberFormat="0" applyFill="0" applyProtection="0">
      <alignment horizontal="left" vertical="center" wrapText="1"/>
    </xf>
    <xf numFmtId="0" fontId="8" fillId="0" borderId="1" applyNumberFormat="0" applyFill="0" applyProtection="0">
      <alignment horizontal="left" vertical="center" wrapText="1"/>
    </xf>
    <xf numFmtId="167" fontId="8" fillId="0" borderId="1" applyFill="0" applyProtection="0">
      <alignment horizontal="right" vertical="center" wrapText="1"/>
    </xf>
    <xf numFmtId="0" fontId="8" fillId="0" borderId="0" applyNumberFormat="0" applyFill="0" applyBorder="0" applyProtection="0">
      <alignment horizontal="left" vertical="center" wrapText="1"/>
    </xf>
    <xf numFmtId="0" fontId="8" fillId="0" borderId="0" applyNumberFormat="0" applyFill="0" applyBorder="0" applyProtection="0">
      <alignment horizontal="left" vertical="center" wrapText="1"/>
    </xf>
    <xf numFmtId="167" fontId="8" fillId="0" borderId="0" applyFill="0" applyBorder="0" applyProtection="0">
      <alignment horizontal="right" vertical="center" wrapText="1"/>
    </xf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7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0" borderId="0"/>
    <xf numFmtId="164" fontId="26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9" fontId="34" fillId="0" borderId="0"/>
    <xf numFmtId="164" fontId="33" fillId="0" borderId="0" applyFont="0" applyFill="0" applyBorder="0" applyAlignment="0" applyProtection="0"/>
  </cellStyleXfs>
  <cellXfs count="156">
    <xf numFmtId="0" fontId="0" fillId="0" borderId="0" xfId="0"/>
    <xf numFmtId="0" fontId="29" fillId="2" borderId="0" xfId="0" applyFont="1" applyFill="1" applyBorder="1" applyProtection="1"/>
    <xf numFmtId="0" fontId="24" fillId="0" borderId="0" xfId="0" applyFont="1" applyBorder="1" applyProtection="1"/>
    <xf numFmtId="2" fontId="29" fillId="2" borderId="0" xfId="0" applyNumberFormat="1" applyFont="1" applyFill="1" applyBorder="1" applyProtection="1"/>
    <xf numFmtId="2" fontId="24" fillId="0" borderId="0" xfId="0" applyNumberFormat="1" applyFont="1" applyBorder="1" applyProtection="1"/>
    <xf numFmtId="0" fontId="24" fillId="0" borderId="0" xfId="0" applyFont="1" applyFill="1" applyBorder="1" applyProtection="1"/>
    <xf numFmtId="49" fontId="29" fillId="2" borderId="0" xfId="0" applyNumberFormat="1" applyFont="1" applyFill="1" applyBorder="1" applyAlignment="1" applyProtection="1">
      <alignment horizontal="right" vertical="top"/>
    </xf>
    <xf numFmtId="0" fontId="25" fillId="0" borderId="0" xfId="0" applyFont="1" applyBorder="1" applyProtection="1"/>
    <xf numFmtId="0" fontId="29" fillId="0" borderId="0" xfId="1" applyFont="1" applyBorder="1" applyProtection="1"/>
    <xf numFmtId="49" fontId="29" fillId="0" borderId="0" xfId="0" applyNumberFormat="1" applyFont="1" applyFill="1" applyBorder="1" applyAlignment="1" applyProtection="1">
      <alignment horizontal="left" vertical="top"/>
    </xf>
    <xf numFmtId="49" fontId="29" fillId="0" borderId="0" xfId="0" applyNumberFormat="1" applyFont="1" applyFill="1" applyBorder="1" applyAlignment="1" applyProtection="1">
      <alignment horizontal="right" vertical="top" wrapText="1"/>
    </xf>
    <xf numFmtId="0" fontId="29" fillId="0" borderId="0" xfId="0" applyFont="1" applyFill="1" applyBorder="1" applyProtection="1"/>
    <xf numFmtId="10" fontId="29" fillId="0" borderId="0" xfId="0" applyNumberFormat="1" applyFont="1" applyFill="1" applyBorder="1" applyProtection="1"/>
    <xf numFmtId="165" fontId="29" fillId="0" borderId="0" xfId="0" applyNumberFormat="1" applyFont="1" applyFill="1" applyBorder="1" applyProtection="1"/>
    <xf numFmtId="4" fontId="29" fillId="0" borderId="0" xfId="0" applyNumberFormat="1" applyFont="1" applyFill="1" applyBorder="1" applyProtection="1"/>
    <xf numFmtId="2" fontId="29" fillId="0" borderId="0" xfId="0" applyNumberFormat="1" applyFont="1" applyFill="1" applyBorder="1" applyProtection="1"/>
    <xf numFmtId="166" fontId="29" fillId="0" borderId="0" xfId="0" applyNumberFormat="1" applyFont="1" applyFill="1" applyBorder="1" applyProtection="1"/>
    <xf numFmtId="165" fontId="24" fillId="0" borderId="0" xfId="0" applyNumberFormat="1" applyFont="1" applyFill="1" applyBorder="1" applyProtection="1"/>
    <xf numFmtId="2" fontId="24" fillId="0" borderId="0" xfId="0" applyNumberFormat="1" applyFont="1" applyFill="1" applyBorder="1" applyProtection="1"/>
    <xf numFmtId="10" fontId="29" fillId="0" borderId="0" xfId="0" applyNumberFormat="1" applyFont="1" applyFill="1" applyBorder="1" applyAlignment="1" applyProtection="1">
      <alignment wrapText="1"/>
    </xf>
    <xf numFmtId="0" fontId="24" fillId="0" borderId="0" xfId="0" applyFont="1" applyAlignment="1">
      <alignment horizontal="center"/>
    </xf>
    <xf numFmtId="49" fontId="29" fillId="0" borderId="11" xfId="0" applyNumberFormat="1" applyFont="1" applyFill="1" applyBorder="1" applyAlignment="1" applyProtection="1">
      <alignment horizontal="right" vertical="top" wrapText="1"/>
    </xf>
    <xf numFmtId="2" fontId="29" fillId="0" borderId="12" xfId="0" applyNumberFormat="1" applyFont="1" applyFill="1" applyBorder="1" applyProtection="1"/>
    <xf numFmtId="4" fontId="29" fillId="0" borderId="12" xfId="0" applyNumberFormat="1" applyFont="1" applyFill="1" applyBorder="1" applyProtection="1"/>
    <xf numFmtId="0" fontId="29" fillId="0" borderId="12" xfId="0" applyFont="1" applyFill="1" applyBorder="1" applyProtection="1"/>
    <xf numFmtId="2" fontId="29" fillId="0" borderId="13" xfId="0" applyNumberFormat="1" applyFont="1" applyFill="1" applyBorder="1" applyProtection="1"/>
    <xf numFmtId="10" fontId="29" fillId="0" borderId="12" xfId="0" applyNumberFormat="1" applyFont="1" applyFill="1" applyBorder="1" applyProtection="1"/>
    <xf numFmtId="10" fontId="29" fillId="0" borderId="13" xfId="0" applyNumberFormat="1" applyFont="1" applyFill="1" applyBorder="1" applyProtection="1"/>
    <xf numFmtId="2" fontId="24" fillId="0" borderId="12" xfId="0" applyNumberFormat="1" applyFont="1" applyFill="1" applyBorder="1" applyProtection="1"/>
    <xf numFmtId="10" fontId="29" fillId="0" borderId="12" xfId="0" applyNumberFormat="1" applyFont="1" applyFill="1" applyBorder="1" applyAlignment="1" applyProtection="1">
      <alignment wrapText="1"/>
    </xf>
    <xf numFmtId="10" fontId="29" fillId="0" borderId="13" xfId="0" applyNumberFormat="1" applyFont="1" applyFill="1" applyBorder="1" applyAlignment="1" applyProtection="1">
      <alignment wrapText="1"/>
    </xf>
    <xf numFmtId="0" fontId="25" fillId="0" borderId="14" xfId="0" applyFont="1" applyBorder="1" applyProtection="1"/>
    <xf numFmtId="0" fontId="24" fillId="0" borderId="15" xfId="0" applyFont="1" applyBorder="1" applyProtection="1"/>
    <xf numFmtId="0" fontId="24" fillId="0" borderId="16" xfId="0" applyFont="1" applyBorder="1" applyProtection="1"/>
    <xf numFmtId="0" fontId="24" fillId="0" borderId="17" xfId="0" applyFont="1" applyBorder="1" applyProtection="1"/>
    <xf numFmtId="0" fontId="24" fillId="0" borderId="18" xfId="0" applyFont="1" applyBorder="1" applyProtection="1"/>
    <xf numFmtId="0" fontId="29" fillId="0" borderId="17" xfId="0" applyFont="1" applyBorder="1" applyProtection="1"/>
    <xf numFmtId="0" fontId="29" fillId="0" borderId="19" xfId="1" applyFont="1" applyBorder="1" applyProtection="1"/>
    <xf numFmtId="0" fontId="24" fillId="0" borderId="20" xfId="0" applyFont="1" applyBorder="1" applyProtection="1"/>
    <xf numFmtId="0" fontId="24" fillId="0" borderId="21" xfId="0" applyFont="1" applyBorder="1" applyProtection="1"/>
    <xf numFmtId="0" fontId="1" fillId="0" borderId="0" xfId="76"/>
    <xf numFmtId="2" fontId="1" fillId="0" borderId="0" xfId="76" applyNumberFormat="1"/>
    <xf numFmtId="0" fontId="1" fillId="0" borderId="0" xfId="76" applyAlignment="1">
      <alignment horizontal="left"/>
    </xf>
    <xf numFmtId="0" fontId="25" fillId="0" borderId="0" xfId="91" applyFont="1"/>
    <xf numFmtId="0" fontId="24" fillId="0" borderId="0" xfId="91" applyFont="1"/>
    <xf numFmtId="0" fontId="24" fillId="0" borderId="22" xfId="91" applyFont="1" applyBorder="1"/>
    <xf numFmtId="0" fontId="35" fillId="0" borderId="0" xfId="92" applyNumberFormat="1" applyFont="1" applyBorder="1" applyAlignment="1" applyProtection="1">
      <alignment horizontal="left"/>
    </xf>
    <xf numFmtId="170" fontId="35" fillId="0" borderId="0" xfId="92" applyNumberFormat="1" applyFont="1" applyBorder="1" applyAlignment="1" applyProtection="1">
      <alignment horizontal="left"/>
    </xf>
    <xf numFmtId="0" fontId="29" fillId="0" borderId="0" xfId="92" applyNumberFormat="1" applyFont="1" applyBorder="1" applyAlignment="1" applyProtection="1">
      <alignment horizontal="left"/>
    </xf>
    <xf numFmtId="170" fontId="29" fillId="0" borderId="0" xfId="92" applyNumberFormat="1" applyFont="1" applyBorder="1" applyAlignment="1" applyProtection="1">
      <alignment horizontal="left"/>
    </xf>
    <xf numFmtId="170" fontId="29" fillId="0" borderId="0" xfId="92" applyNumberFormat="1" applyFont="1" applyBorder="1" applyAlignment="1" applyProtection="1">
      <alignment horizontal="right"/>
    </xf>
    <xf numFmtId="169" fontId="35" fillId="34" borderId="24" xfId="91" applyNumberFormat="1" applyFont="1" applyFill="1" applyBorder="1" applyAlignment="1" applyProtection="1">
      <alignment horizontal="center" vertical="top" wrapText="1"/>
    </xf>
    <xf numFmtId="169" fontId="35" fillId="36" borderId="27" xfId="91" applyNumberFormat="1" applyFont="1" applyFill="1" applyBorder="1" applyAlignment="1" applyProtection="1">
      <alignment horizontal="left" vertical="top" wrapText="1"/>
    </xf>
    <xf numFmtId="169" fontId="35" fillId="36" borderId="26" xfId="91" applyNumberFormat="1" applyFont="1" applyFill="1" applyBorder="1" applyAlignment="1" applyProtection="1">
      <alignment horizontal="left" vertical="top" wrapText="1"/>
    </xf>
    <xf numFmtId="169" fontId="35" fillId="36" borderId="25" xfId="91" applyNumberFormat="1" applyFont="1" applyFill="1" applyBorder="1" applyAlignment="1" applyProtection="1">
      <alignment horizontal="left" vertical="top" wrapText="1"/>
    </xf>
    <xf numFmtId="0" fontId="29" fillId="0" borderId="24" xfId="92" applyNumberFormat="1" applyFont="1" applyBorder="1" applyAlignment="1" applyProtection="1">
      <alignment horizontal="left"/>
    </xf>
    <xf numFmtId="1" fontId="29" fillId="0" borderId="24" xfId="93" applyNumberFormat="1" applyFont="1" applyBorder="1" applyAlignment="1" applyProtection="1">
      <alignment horizontal="right"/>
    </xf>
    <xf numFmtId="170" fontId="29" fillId="0" borderId="24" xfId="92" applyNumberFormat="1" applyFont="1" applyBorder="1" applyAlignment="1" applyProtection="1">
      <alignment horizontal="left" wrapText="1"/>
    </xf>
    <xf numFmtId="0" fontId="24" fillId="0" borderId="0" xfId="92" applyNumberFormat="1" applyFont="1" applyBorder="1" applyAlignment="1" applyProtection="1">
      <alignment horizontal="left"/>
    </xf>
    <xf numFmtId="170" fontId="24" fillId="0" borderId="0" xfId="92" applyNumberFormat="1" applyFont="1" applyBorder="1" applyAlignment="1" applyProtection="1">
      <alignment horizontal="left"/>
    </xf>
    <xf numFmtId="169" fontId="35" fillId="0" borderId="0" xfId="92" applyNumberFormat="1" applyFont="1" applyBorder="1" applyAlignment="1" applyProtection="1">
      <alignment horizontal="left"/>
    </xf>
    <xf numFmtId="169" fontId="29" fillId="0" borderId="0" xfId="92" applyFont="1" applyBorder="1" applyAlignment="1">
      <alignment horizontal="left"/>
    </xf>
    <xf numFmtId="169" fontId="29" fillId="0" borderId="0" xfId="92" applyFont="1" applyBorder="1"/>
    <xf numFmtId="169" fontId="29" fillId="0" borderId="0" xfId="92" applyFont="1"/>
    <xf numFmtId="169" fontId="29" fillId="0" borderId="0" xfId="92" applyNumberFormat="1" applyFont="1" applyBorder="1" applyAlignment="1" applyProtection="1">
      <alignment horizontal="left"/>
    </xf>
    <xf numFmtId="169" fontId="32" fillId="0" borderId="0" xfId="92" applyFont="1" applyBorder="1" applyAlignment="1">
      <alignment horizontal="left"/>
    </xf>
    <xf numFmtId="169" fontId="32" fillId="0" borderId="0" xfId="92" applyFont="1" applyBorder="1"/>
    <xf numFmtId="169" fontId="29" fillId="0" borderId="0" xfId="92" applyNumberFormat="1" applyFont="1" applyBorder="1" applyAlignment="1" applyProtection="1">
      <alignment horizontal="right"/>
    </xf>
    <xf numFmtId="169" fontId="35" fillId="34" borderId="0" xfId="92" applyNumberFormat="1" applyFont="1" applyFill="1" applyBorder="1" applyAlignment="1" applyProtection="1">
      <alignment horizontal="right" vertical="center"/>
    </xf>
    <xf numFmtId="169" fontId="29" fillId="0" borderId="0" xfId="92" applyFont="1" applyBorder="1" applyAlignment="1">
      <alignment vertical="center"/>
    </xf>
    <xf numFmtId="169" fontId="35" fillId="34" borderId="0" xfId="92" applyNumberFormat="1" applyFont="1" applyFill="1" applyBorder="1" applyAlignment="1" applyProtection="1">
      <alignment horizontal="right" vertical="top"/>
    </xf>
    <xf numFmtId="169" fontId="35" fillId="34" borderId="22" xfId="92" applyNumberFormat="1" applyFont="1" applyFill="1" applyBorder="1" applyAlignment="1" applyProtection="1">
      <alignment horizontal="center" vertical="top" wrapText="1"/>
    </xf>
    <xf numFmtId="169" fontId="35" fillId="34" borderId="0" xfId="92" applyNumberFormat="1" applyFont="1" applyFill="1" applyBorder="1" applyAlignment="1" applyProtection="1">
      <alignment horizontal="center" vertical="top" wrapText="1"/>
    </xf>
    <xf numFmtId="169" fontId="35" fillId="34" borderId="22" xfId="92" applyNumberFormat="1" applyFont="1" applyFill="1" applyBorder="1" applyAlignment="1" applyProtection="1">
      <alignment horizontal="center" vertical="center" wrapText="1"/>
    </xf>
    <xf numFmtId="169" fontId="35" fillId="34" borderId="0" xfId="92" applyNumberFormat="1" applyFont="1" applyFill="1" applyBorder="1" applyAlignment="1" applyProtection="1">
      <alignment horizontal="center" vertical="center" wrapText="1"/>
    </xf>
    <xf numFmtId="169" fontId="29" fillId="0" borderId="0" xfId="92" applyNumberFormat="1" applyFont="1" applyFill="1" applyBorder="1" applyProtection="1"/>
    <xf numFmtId="169" fontId="29" fillId="0" borderId="22" xfId="92" applyNumberFormat="1" applyFont="1" applyFill="1" applyBorder="1" applyProtection="1"/>
    <xf numFmtId="1" fontId="29" fillId="0" borderId="0" xfId="92" applyNumberFormat="1" applyFont="1" applyFill="1" applyBorder="1" applyAlignment="1">
      <alignment horizontal="right"/>
    </xf>
    <xf numFmtId="1" fontId="29" fillId="0" borderId="22" xfId="92" applyNumberFormat="1" applyFont="1" applyFill="1" applyBorder="1" applyAlignment="1">
      <alignment horizontal="right"/>
    </xf>
    <xf numFmtId="172" fontId="29" fillId="0" borderId="0" xfId="92" applyNumberFormat="1" applyFont="1" applyFill="1" applyBorder="1" applyAlignment="1">
      <alignment horizontal="right"/>
    </xf>
    <xf numFmtId="1" fontId="29" fillId="0" borderId="22" xfId="92" applyNumberFormat="1" applyFont="1" applyFill="1" applyBorder="1" applyAlignment="1">
      <alignment horizontal="center"/>
    </xf>
    <xf numFmtId="2" fontId="29" fillId="0" borderId="0" xfId="92" applyNumberFormat="1" applyFont="1" applyProtection="1"/>
    <xf numFmtId="169" fontId="35" fillId="0" borderId="0" xfId="92" applyFont="1" applyBorder="1"/>
    <xf numFmtId="2" fontId="29" fillId="0" borderId="0" xfId="92" applyNumberFormat="1" applyFont="1" applyAlignment="1" applyProtection="1">
      <alignment horizontal="right"/>
    </xf>
    <xf numFmtId="1" fontId="35" fillId="35" borderId="22" xfId="92" applyNumberFormat="1" applyFont="1" applyFill="1" applyBorder="1" applyAlignment="1">
      <alignment horizontal="center"/>
    </xf>
    <xf numFmtId="171" fontId="35" fillId="34" borderId="0" xfId="92" applyNumberFormat="1" applyFont="1" applyFill="1" applyBorder="1" applyAlignment="1">
      <alignment horizontal="center"/>
    </xf>
    <xf numFmtId="0" fontId="35" fillId="0" borderId="0" xfId="0" applyFont="1" applyAlignment="1" applyProtection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Continuous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Fill="1" applyAlignment="1">
      <alignment horizontal="left"/>
    </xf>
    <xf numFmtId="0" fontId="35" fillId="0" borderId="0" xfId="0" applyFont="1" applyFill="1" applyBorder="1" applyAlignment="1" applyProtection="1">
      <alignment horizontal="center"/>
    </xf>
    <xf numFmtId="0" fontId="29" fillId="0" borderId="0" xfId="0" applyFont="1" applyFill="1" applyAlignment="1">
      <alignment vertical="top"/>
    </xf>
    <xf numFmtId="0" fontId="35" fillId="34" borderId="0" xfId="0" applyFont="1" applyFill="1" applyBorder="1" applyAlignment="1" applyProtection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top" wrapText="1"/>
    </xf>
    <xf numFmtId="0" fontId="35" fillId="34" borderId="0" xfId="0" applyFont="1" applyFill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173" fontId="35" fillId="0" borderId="0" xfId="0" applyNumberFormat="1" applyFont="1" applyAlignment="1" applyProtection="1">
      <alignment horizontal="left"/>
    </xf>
    <xf numFmtId="168" fontId="29" fillId="0" borderId="0" xfId="0" applyNumberFormat="1" applyFont="1" applyFill="1" applyBorder="1" applyAlignment="1" applyProtection="1">
      <alignment horizontal="right"/>
    </xf>
    <xf numFmtId="174" fontId="29" fillId="0" borderId="0" xfId="0" applyNumberFormat="1" applyFont="1"/>
    <xf numFmtId="175" fontId="29" fillId="0" borderId="0" xfId="0" applyNumberFormat="1" applyFont="1" applyAlignment="1" applyProtection="1">
      <alignment horizontal="left"/>
    </xf>
    <xf numFmtId="176" fontId="29" fillId="0" borderId="0" xfId="0" applyNumberFormat="1" applyFont="1"/>
    <xf numFmtId="177" fontId="29" fillId="0" borderId="0" xfId="0" applyNumberFormat="1" applyFont="1" applyFill="1" applyAlignment="1" applyProtection="1">
      <alignment horizontal="left"/>
    </xf>
    <xf numFmtId="174" fontId="29" fillId="0" borderId="0" xfId="0" applyNumberFormat="1" applyFont="1" applyFill="1"/>
    <xf numFmtId="177" fontId="29" fillId="0" borderId="0" xfId="0" applyNumberFormat="1" applyFont="1" applyAlignment="1" applyProtection="1">
      <alignment horizontal="left"/>
    </xf>
    <xf numFmtId="178" fontId="29" fillId="0" borderId="0" xfId="0" applyNumberFormat="1" applyFont="1" applyAlignment="1" applyProtection="1">
      <alignment horizontal="left"/>
    </xf>
    <xf numFmtId="179" fontId="35" fillId="0" borderId="0" xfId="0" applyNumberFormat="1" applyFont="1" applyAlignment="1" applyProtection="1">
      <alignment horizontal="left"/>
    </xf>
    <xf numFmtId="180" fontId="35" fillId="0" borderId="0" xfId="0" applyNumberFormat="1" applyFont="1" applyAlignment="1" applyProtection="1">
      <alignment horizontal="left"/>
    </xf>
    <xf numFmtId="181" fontId="29" fillId="0" borderId="0" xfId="0" applyNumberFormat="1" applyFont="1" applyAlignment="1" applyProtection="1">
      <alignment horizontal="left"/>
    </xf>
    <xf numFmtId="182" fontId="29" fillId="0" borderId="0" xfId="0" applyNumberFormat="1" applyFont="1" applyAlignment="1" applyProtection="1">
      <alignment horizontal="left"/>
    </xf>
    <xf numFmtId="168" fontId="29" fillId="0" borderId="0" xfId="0" applyNumberFormat="1" applyFont="1" applyBorder="1" applyAlignment="1"/>
    <xf numFmtId="168" fontId="29" fillId="0" borderId="0" xfId="0" applyNumberFormat="1" applyFont="1" applyFill="1" applyBorder="1" applyAlignment="1"/>
    <xf numFmtId="184" fontId="29" fillId="0" borderId="0" xfId="0" applyNumberFormat="1" applyFont="1"/>
    <xf numFmtId="0" fontId="35" fillId="0" borderId="0" xfId="0" applyFont="1" applyFill="1" applyAlignment="1" applyProtection="1">
      <alignment horizontal="left"/>
    </xf>
    <xf numFmtId="168" fontId="35" fillId="34" borderId="0" xfId="0" applyNumberFormat="1" applyFont="1" applyFill="1" applyBorder="1" applyAlignment="1" applyProtection="1">
      <alignment horizontal="right"/>
    </xf>
    <xf numFmtId="168" fontId="35" fillId="0" borderId="0" xfId="0" applyNumberFormat="1" applyFont="1" applyFill="1" applyBorder="1" applyAlignment="1" applyProtection="1">
      <alignment horizontal="right"/>
    </xf>
    <xf numFmtId="184" fontId="35" fillId="34" borderId="0" xfId="0" applyNumberFormat="1" applyFont="1" applyFill="1"/>
    <xf numFmtId="168" fontId="29" fillId="0" borderId="0" xfId="0" applyNumberFormat="1" applyFont="1" applyBorder="1" applyAlignment="1">
      <alignment horizontal="right"/>
    </xf>
    <xf numFmtId="168" fontId="29" fillId="0" borderId="0" xfId="0" applyNumberFormat="1" applyFont="1" applyFill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1" fontId="29" fillId="0" borderId="0" xfId="0" applyNumberFormat="1" applyFont="1" applyAlignment="1">
      <alignment horizontal="right"/>
    </xf>
    <xf numFmtId="1" fontId="29" fillId="0" borderId="0" xfId="0" applyNumberFormat="1" applyFont="1"/>
    <xf numFmtId="0" fontId="35" fillId="0" borderId="0" xfId="0" applyFont="1"/>
    <xf numFmtId="168" fontId="35" fillId="0" borderId="0" xfId="0" applyNumberFormat="1" applyFont="1" applyBorder="1" applyAlignment="1">
      <alignment horizontal="right"/>
    </xf>
    <xf numFmtId="168" fontId="35" fillId="0" borderId="0" xfId="0" applyNumberFormat="1" applyFont="1" applyFill="1" applyBorder="1" applyAlignment="1">
      <alignment horizontal="right"/>
    </xf>
    <xf numFmtId="1" fontId="35" fillId="0" borderId="0" xfId="0" applyNumberFormat="1" applyFont="1" applyBorder="1" applyAlignment="1">
      <alignment horizontal="right"/>
    </xf>
    <xf numFmtId="1" fontId="35" fillId="0" borderId="0" xfId="0" applyNumberFormat="1" applyFont="1" applyAlignment="1">
      <alignment horizontal="right"/>
    </xf>
    <xf numFmtId="1" fontId="35" fillId="0" borderId="0" xfId="0" applyNumberFormat="1" applyFont="1"/>
    <xf numFmtId="0" fontId="29" fillId="0" borderId="0" xfId="0" applyFont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2" fillId="0" borderId="0" xfId="0" applyFont="1"/>
    <xf numFmtId="183" fontId="35" fillId="37" borderId="0" xfId="0" applyNumberFormat="1" applyFont="1" applyFill="1" applyAlignment="1" applyProtection="1">
      <alignment horizontal="left"/>
    </xf>
    <xf numFmtId="168" fontId="29" fillId="37" borderId="0" xfId="0" applyNumberFormat="1" applyFont="1" applyFill="1" applyBorder="1" applyAlignment="1" applyProtection="1">
      <alignment horizontal="right"/>
    </xf>
    <xf numFmtId="0" fontId="25" fillId="37" borderId="0" xfId="91" applyFont="1" applyFill="1"/>
    <xf numFmtId="170" fontId="29" fillId="0" borderId="0" xfId="92" applyNumberFormat="1" applyFont="1" applyBorder="1" applyAlignment="1" applyProtection="1">
      <alignment horizontal="left" wrapText="1"/>
    </xf>
    <xf numFmtId="0" fontId="29" fillId="37" borderId="0" xfId="92" applyNumberFormat="1" applyFont="1" applyFill="1" applyBorder="1" applyAlignment="1" applyProtection="1">
      <alignment horizontal="left"/>
    </xf>
    <xf numFmtId="1" fontId="29" fillId="37" borderId="0" xfId="93" applyNumberFormat="1" applyFont="1" applyFill="1" applyBorder="1" applyAlignment="1" applyProtection="1">
      <alignment horizontal="right"/>
    </xf>
    <xf numFmtId="170" fontId="29" fillId="37" borderId="0" xfId="92" applyNumberFormat="1" applyFont="1" applyFill="1" applyBorder="1" applyAlignment="1" applyProtection="1">
      <alignment horizontal="left"/>
    </xf>
    <xf numFmtId="171" fontId="35" fillId="37" borderId="0" xfId="92" applyNumberFormat="1" applyFont="1" applyFill="1" applyBorder="1" applyAlignment="1">
      <alignment horizontal="right"/>
    </xf>
    <xf numFmtId="0" fontId="24" fillId="37" borderId="0" xfId="91" applyFont="1" applyFill="1"/>
    <xf numFmtId="1" fontId="24" fillId="37" borderId="0" xfId="91" applyNumberFormat="1" applyFont="1" applyFill="1"/>
    <xf numFmtId="0" fontId="24" fillId="0" borderId="14" xfId="0" applyFont="1" applyBorder="1" applyProtection="1"/>
    <xf numFmtId="2" fontId="24" fillId="0" borderId="16" xfId="0" applyNumberFormat="1" applyFont="1" applyBorder="1" applyProtection="1"/>
    <xf numFmtId="2" fontId="24" fillId="0" borderId="18" xfId="0" applyNumberFormat="1" applyFont="1" applyBorder="1" applyProtection="1"/>
    <xf numFmtId="0" fontId="24" fillId="0" borderId="19" xfId="0" applyFont="1" applyBorder="1" applyProtection="1"/>
    <xf numFmtId="166" fontId="24" fillId="0" borderId="21" xfId="0" applyNumberFormat="1" applyFont="1" applyBorder="1" applyProtection="1"/>
    <xf numFmtId="0" fontId="35" fillId="34" borderId="0" xfId="0" applyFont="1" applyFill="1" applyBorder="1" applyAlignment="1" applyProtection="1">
      <alignment horizontal="center"/>
    </xf>
    <xf numFmtId="0" fontId="24" fillId="34" borderId="0" xfId="0" applyFont="1" applyFill="1" applyBorder="1" applyAlignment="1">
      <alignment horizontal="center"/>
    </xf>
    <xf numFmtId="169" fontId="35" fillId="34" borderId="22" xfId="92" applyNumberFormat="1" applyFont="1" applyFill="1" applyBorder="1" applyAlignment="1" applyProtection="1">
      <alignment horizontal="center" vertical="center" wrapText="1"/>
    </xf>
    <xf numFmtId="169" fontId="35" fillId="34" borderId="0" xfId="92" applyNumberFormat="1" applyFont="1" applyFill="1" applyBorder="1" applyAlignment="1" applyProtection="1">
      <alignment horizontal="center" vertical="center" wrapText="1"/>
    </xf>
    <xf numFmtId="169" fontId="35" fillId="34" borderId="0" xfId="92" applyNumberFormat="1" applyFont="1" applyFill="1" applyBorder="1" applyAlignment="1" applyProtection="1">
      <alignment horizontal="center" vertical="center"/>
    </xf>
    <xf numFmtId="169" fontId="35" fillId="34" borderId="23" xfId="92" applyNumberFormat="1" applyFont="1" applyFill="1" applyBorder="1" applyAlignment="1" applyProtection="1">
      <alignment horizontal="center" vertical="center"/>
    </xf>
  </cellXfs>
  <cellStyles count="94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 2" xfId="51"/>
    <cellStyle name="Comma 3" xfId="93"/>
    <cellStyle name="Explanatory Text" xfId="24" builtinId="53" customBuiltin="1"/>
    <cellStyle name="Followed Hyperlink" xfId="2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1" builtinId="8"/>
    <cellStyle name="Hyperlink 2" xfId="53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" xfId="50"/>
    <cellStyle name="Normal 3" xfId="52"/>
    <cellStyle name="Normal 3 2" xfId="62"/>
    <cellStyle name="Normal 4" xfId="76"/>
    <cellStyle name="Normal 5" xfId="91"/>
    <cellStyle name="Normal_Tab43" xfId="92"/>
    <cellStyle name="Note" xfId="23" builtinId="10" customBuiltin="1"/>
    <cellStyle name="Output" xfId="18" builtinId="21" customBuiltin="1"/>
    <cellStyle name="ss10" xfId="5"/>
    <cellStyle name="ss12" xfId="6"/>
    <cellStyle name="ss13" xfId="7"/>
    <cellStyle name="ss14" xfId="8"/>
    <cellStyle name="ss8" xfId="3"/>
    <cellStyle name="ss9" xfId="4"/>
    <cellStyle name="Title" xfId="9" builtinId="15" customBuiltin="1"/>
    <cellStyle name="Total" xfId="25" builtinId="25" customBuiltin="1"/>
    <cellStyle name="Warning Text" xfId="22" builtinId="11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1: ODA</a:t>
            </a:r>
            <a:r>
              <a:rPr lang="en-US" baseline="0"/>
              <a:t> changes, 2012 vs 2013</a:t>
            </a:r>
          </a:p>
          <a:p>
            <a:pPr>
              <a:defRPr/>
            </a:pPr>
            <a:r>
              <a:rPr lang="en-US" sz="1200" baseline="0"/>
              <a:t>Current prices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947668162823901"/>
          <c:y val="0.135428153448032"/>
          <c:w val="0.65947379974116904"/>
          <c:h val="0.71959160842599601"/>
        </c:manualLayout>
      </c:layout>
      <c:barChart>
        <c:barDir val="bar"/>
        <c:grouping val="clustered"/>
        <c:varyColors val="0"/>
        <c:ser>
          <c:idx val="0"/>
          <c:order val="0"/>
          <c:tx>
            <c:v>2013</c:v>
          </c:tx>
          <c:invertIfNegative val="0"/>
          <c:dLbls>
            <c:dLbl>
              <c:idx val="12"/>
              <c:layout>
                <c:manualLayout>
                  <c:x val="0.2529095301070684"/>
                  <c:y val="-4.6356661156529151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solidFill>
                          <a:schemeClr val="bg1"/>
                        </a:solidFill>
                        <a:effectLst/>
                      </a:rPr>
                      <a:t>3.7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(Master!$A$3:$A$17,Master!$A$19)</c:f>
              <c:strCache>
                <c:ptCount val="16"/>
                <c:pt idx="0">
                  <c:v>Australia</c:v>
                </c:pt>
                <c:pt idx="1">
                  <c:v>Belgium</c:v>
                </c:pt>
                <c:pt idx="2">
                  <c:v>Canada</c:v>
                </c:pt>
                <c:pt idx="3">
                  <c:v>Denmark</c:v>
                </c:pt>
                <c:pt idx="4">
                  <c:v>France</c:v>
                </c:pt>
                <c:pt idx="5">
                  <c:v>Germany</c:v>
                </c:pt>
                <c:pt idx="6">
                  <c:v>Italy</c:v>
                </c:pt>
                <c:pt idx="7">
                  <c:v>Japan</c:v>
                </c:pt>
                <c:pt idx="8">
                  <c:v>Netherlands</c:v>
                </c:pt>
                <c:pt idx="9">
                  <c:v>Norway</c:v>
                </c:pt>
                <c:pt idx="10">
                  <c:v>Spain</c:v>
                </c:pt>
                <c:pt idx="11">
                  <c:v>Sweden</c:v>
                </c:pt>
                <c:pt idx="12">
                  <c:v>Switzerland</c:v>
                </c:pt>
                <c:pt idx="13">
                  <c:v>United Kingdom</c:v>
                </c:pt>
                <c:pt idx="14">
                  <c:v>United States</c:v>
                </c:pt>
                <c:pt idx="15">
                  <c:v>All top 15</c:v>
                </c:pt>
              </c:strCache>
            </c:strRef>
          </c:cat>
          <c:val>
            <c:numRef>
              <c:f>(Master!$M$3:$M$17,Master!$M$19)</c:f>
              <c:numCache>
                <c:formatCode>0.00</c:formatCode>
                <c:ptCount val="16"/>
                <c:pt idx="0">
                  <c:v>-0.27367909767954263</c:v>
                </c:pt>
                <c:pt idx="1">
                  <c:v>0.20832696400242517</c:v>
                </c:pt>
                <c:pt idx="2">
                  <c:v>-0.29667584624236099</c:v>
                </c:pt>
                <c:pt idx="3" formatCode="0.000">
                  <c:v>9.8115782696125298E-3</c:v>
                </c:pt>
                <c:pt idx="4">
                  <c:v>-3.818686582141656E-2</c:v>
                </c:pt>
                <c:pt idx="5">
                  <c:v>-0.38258497508847555</c:v>
                </c:pt>
                <c:pt idx="6">
                  <c:v>0.41672678195856344</c:v>
                </c:pt>
                <c:pt idx="7">
                  <c:v>-0.49794871687327202</c:v>
                </c:pt>
                <c:pt idx="8">
                  <c:v>-1.2258074416433236</c:v>
                </c:pt>
                <c:pt idx="9">
                  <c:v>0.33410637027323953</c:v>
                </c:pt>
                <c:pt idx="10">
                  <c:v>-7.4540414238287278E-2</c:v>
                </c:pt>
                <c:pt idx="11">
                  <c:v>0.33469020458178528</c:v>
                </c:pt>
                <c:pt idx="12">
                  <c:v>0.27912988932823407</c:v>
                </c:pt>
                <c:pt idx="13">
                  <c:v>3.7213273101607767</c:v>
                </c:pt>
                <c:pt idx="14">
                  <c:v>-1.7359055466176572</c:v>
                </c:pt>
                <c:pt idx="15">
                  <c:v>0.77879019437030061</c:v>
                </c:pt>
              </c:numCache>
            </c:numRef>
          </c:val>
        </c:ser>
        <c:ser>
          <c:idx val="1"/>
          <c:order val="1"/>
          <c:tx>
            <c:v>2012</c:v>
          </c:tx>
          <c:invertIfNegative val="0"/>
          <c:dLbls>
            <c:dLbl>
              <c:idx val="14"/>
              <c:layout>
                <c:manualLayout>
                  <c:x val="0.14571933379151911"/>
                  <c:y val="-4.7448693194521586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chemeClr val="bg1"/>
                        </a:solidFill>
                      </a:rPr>
                      <a:t>-</a:t>
                    </a:r>
                    <a:r>
                      <a:rPr lang="en-US" sz="1000" b="0" i="0" u="none" strike="noStrike" baseline="0">
                        <a:solidFill>
                          <a:schemeClr val="bg1"/>
                        </a:solidFill>
                        <a:effectLst/>
                      </a:rPr>
                      <a:t>5.4</a:t>
                    </a:r>
                    <a:endParaRPr lang="en-US" sz="8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(Master!$A$3:$A$17,Master!$A$19)</c:f>
              <c:strCache>
                <c:ptCount val="16"/>
                <c:pt idx="0">
                  <c:v>Australia</c:v>
                </c:pt>
                <c:pt idx="1">
                  <c:v>Belgium</c:v>
                </c:pt>
                <c:pt idx="2">
                  <c:v>Canada</c:v>
                </c:pt>
                <c:pt idx="3">
                  <c:v>Denmark</c:v>
                </c:pt>
                <c:pt idx="4">
                  <c:v>France</c:v>
                </c:pt>
                <c:pt idx="5">
                  <c:v>Germany</c:v>
                </c:pt>
                <c:pt idx="6">
                  <c:v>Italy</c:v>
                </c:pt>
                <c:pt idx="7">
                  <c:v>Japan</c:v>
                </c:pt>
                <c:pt idx="8">
                  <c:v>Netherlands</c:v>
                </c:pt>
                <c:pt idx="9">
                  <c:v>Norway</c:v>
                </c:pt>
                <c:pt idx="10">
                  <c:v>Spain</c:v>
                </c:pt>
                <c:pt idx="11">
                  <c:v>Sweden</c:v>
                </c:pt>
                <c:pt idx="12">
                  <c:v>Switzerland</c:v>
                </c:pt>
                <c:pt idx="13">
                  <c:v>United Kingdom</c:v>
                </c:pt>
                <c:pt idx="14">
                  <c:v>United States</c:v>
                </c:pt>
                <c:pt idx="15">
                  <c:v>All top 15</c:v>
                </c:pt>
              </c:strCache>
            </c:strRef>
          </c:cat>
          <c:val>
            <c:numRef>
              <c:f>(Master!$D$3:$D$17,Master!$D$19)</c:f>
              <c:numCache>
                <c:formatCode>0.00</c:formatCode>
                <c:ptCount val="16"/>
                <c:pt idx="0">
                  <c:v>0.45345009295352412</c:v>
                </c:pt>
                <c:pt idx="1">
                  <c:v>-0.34513652229294145</c:v>
                </c:pt>
                <c:pt idx="2">
                  <c:v>0.22301737988714621</c:v>
                </c:pt>
                <c:pt idx="3">
                  <c:v>-4.9152739391539857E-2</c:v>
                </c:pt>
                <c:pt idx="4">
                  <c:v>-0.19934203424988617</c:v>
                </c:pt>
                <c:pt idx="5">
                  <c:v>-9.560197462636566E-2</c:v>
                </c:pt>
                <c:pt idx="6">
                  <c:v>-1.4052594818113229</c:v>
                </c:pt>
                <c:pt idx="7">
                  <c:v>-0.22777097771120225</c:v>
                </c:pt>
                <c:pt idx="8">
                  <c:v>-0.38740329125198247</c:v>
                </c:pt>
                <c:pt idx="9">
                  <c:v>1.7708408734289804E-2</c:v>
                </c:pt>
                <c:pt idx="10">
                  <c:v>-1.921175700258446</c:v>
                </c:pt>
                <c:pt idx="11">
                  <c:v>-0.18634099460706199</c:v>
                </c:pt>
                <c:pt idx="12">
                  <c:v>0.12985051724516561</c:v>
                </c:pt>
                <c:pt idx="13">
                  <c:v>-0.30344598740739315</c:v>
                </c:pt>
                <c:pt idx="14">
                  <c:v>-0.89163893376270664</c:v>
                </c:pt>
                <c:pt idx="15">
                  <c:v>-5.3781657848224995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273664"/>
        <c:axId val="92283648"/>
      </c:barChart>
      <c:catAx>
        <c:axId val="92273664"/>
        <c:scaling>
          <c:orientation val="minMax"/>
        </c:scaling>
        <c:delete val="0"/>
        <c:axPos val="l"/>
        <c:majorTickMark val="out"/>
        <c:minorTickMark val="none"/>
        <c:tickLblPos val="low"/>
        <c:crossAx val="92283648"/>
        <c:crossesAt val="0"/>
        <c:auto val="0"/>
        <c:lblAlgn val="ctr"/>
        <c:lblOffset val="100"/>
        <c:noMultiLvlLbl val="0"/>
      </c:catAx>
      <c:valAx>
        <c:axId val="92283648"/>
        <c:scaling>
          <c:orientation val="minMax"/>
          <c:max val="2"/>
          <c:min val="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$US billion</a:t>
                </a:r>
              </a:p>
            </c:rich>
          </c:tx>
          <c:layout>
            <c:manualLayout>
              <c:xMode val="edge"/>
              <c:yMode val="edge"/>
              <c:x val="0.4836517355993401"/>
              <c:y val="0.9275026447536435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en-US"/>
          </a:p>
        </c:txPr>
        <c:crossAx val="92273664"/>
        <c:crosses val="autoZero"/>
        <c:crossBetween val="between"/>
        <c:majorUnit val="0.5"/>
        <c:minorUnit val="0.5"/>
      </c:valAx>
    </c:plotArea>
    <c:legend>
      <c:legendPos val="r"/>
      <c:layout>
        <c:manualLayout>
          <c:xMode val="edge"/>
          <c:yMode val="edge"/>
          <c:x val="0.86614590697968796"/>
          <c:y val="0.44204945693263797"/>
          <c:w val="5.0917476202382711E-2"/>
          <c:h val="7.567544768288364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2: ODA and ODA/GNI, 2000 to 2013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Historical!$B$3</c:f>
              <c:strCache>
                <c:ptCount val="1"/>
                <c:pt idx="0">
                  <c:v>ODA (left axis)</c:v>
                </c:pt>
              </c:strCache>
            </c:strRef>
          </c:tx>
          <c:marker>
            <c:symbol val="none"/>
          </c:marker>
          <c:dPt>
            <c:idx val="13"/>
            <c:bubble3D val="0"/>
            <c:spPr>
              <a:ln>
                <a:prstDash val="sysDash"/>
              </a:ln>
            </c:spPr>
          </c:dPt>
          <c:cat>
            <c:numRef>
              <c:f>Historical!$A$5:$A$18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Historical!$B$5:$B$18</c:f>
              <c:numCache>
                <c:formatCode>General</c:formatCode>
                <c:ptCount val="14"/>
                <c:pt idx="0">
                  <c:v>84222.56</c:v>
                </c:pt>
                <c:pt idx="1">
                  <c:v>85788.98</c:v>
                </c:pt>
                <c:pt idx="2">
                  <c:v>91784.49</c:v>
                </c:pt>
                <c:pt idx="3">
                  <c:v>95141.22</c:v>
                </c:pt>
                <c:pt idx="4">
                  <c:v>99940.81</c:v>
                </c:pt>
                <c:pt idx="5">
                  <c:v>131226.82</c:v>
                </c:pt>
                <c:pt idx="6">
                  <c:v>124808.45</c:v>
                </c:pt>
                <c:pt idx="7">
                  <c:v>114910.16</c:v>
                </c:pt>
                <c:pt idx="8">
                  <c:v>127751.13</c:v>
                </c:pt>
                <c:pt idx="9">
                  <c:v>129249.82</c:v>
                </c:pt>
                <c:pt idx="10">
                  <c:v>136914.72</c:v>
                </c:pt>
                <c:pt idx="11">
                  <c:v>133907.87</c:v>
                </c:pt>
                <c:pt idx="12">
                  <c:v>128709.17</c:v>
                </c:pt>
                <c:pt idx="13" formatCode="0.00">
                  <c:v>129426.57821252839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44544"/>
        <c:axId val="94046080"/>
      </c:lineChart>
      <c:lineChart>
        <c:grouping val="standard"/>
        <c:varyColors val="0"/>
        <c:ser>
          <c:idx val="1"/>
          <c:order val="1"/>
          <c:tx>
            <c:strRef>
              <c:f>Historical!$C$3</c:f>
              <c:strCache>
                <c:ptCount val="1"/>
                <c:pt idx="0">
                  <c:v>ODA/GNI (right axis)</c:v>
                </c:pt>
              </c:strCache>
            </c:strRef>
          </c:tx>
          <c:marker>
            <c:symbol val="none"/>
          </c:marker>
          <c:dPt>
            <c:idx val="13"/>
            <c:bubble3D val="0"/>
            <c:spPr>
              <a:ln>
                <a:prstDash val="sysDash"/>
              </a:ln>
            </c:spPr>
          </c:dPt>
          <c:cat>
            <c:numRef>
              <c:f>Historical!$A$5:$A$18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Historical!$C$5:$C$18</c:f>
              <c:numCache>
                <c:formatCode>General</c:formatCode>
                <c:ptCount val="14"/>
                <c:pt idx="0">
                  <c:v>0.22</c:v>
                </c:pt>
                <c:pt idx="1">
                  <c:v>0.22</c:v>
                </c:pt>
                <c:pt idx="2">
                  <c:v>0.23</c:v>
                </c:pt>
                <c:pt idx="3">
                  <c:v>0.24</c:v>
                </c:pt>
                <c:pt idx="4">
                  <c:v>0.25</c:v>
                </c:pt>
                <c:pt idx="5">
                  <c:v>0.32</c:v>
                </c:pt>
                <c:pt idx="6">
                  <c:v>0.3</c:v>
                </c:pt>
                <c:pt idx="7">
                  <c:v>0.27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0.31</c:v>
                </c:pt>
                <c:pt idx="12">
                  <c:v>0.28999999999999998</c:v>
                </c:pt>
                <c:pt idx="13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0176"/>
        <c:axId val="94048256"/>
      </c:lineChart>
      <c:dateAx>
        <c:axId val="940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046080"/>
        <c:crosses val="autoZero"/>
        <c:auto val="0"/>
        <c:lblOffset val="100"/>
        <c:baseTimeUnit val="days"/>
      </c:dateAx>
      <c:valAx>
        <c:axId val="94046080"/>
        <c:scaling>
          <c:orientation val="minMax"/>
          <c:min val="8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ODA (constant 2011 $US)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044544"/>
        <c:crosses val="autoZero"/>
        <c:crossBetween val="between"/>
      </c:valAx>
      <c:valAx>
        <c:axId val="94048256"/>
        <c:scaling>
          <c:orientation val="minMax"/>
          <c:max val="0.33"/>
          <c:min val="0.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ODA/GNI (per cent)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050176"/>
        <c:crosses val="max"/>
        <c:crossBetween val="between"/>
      </c:valAx>
      <c:catAx>
        <c:axId val="9405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0482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Figure 3: ODA and ODA-like flows from non-DAC sources, 2007-2011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($US million, current prices)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v>Arab countries</c:v>
          </c:tx>
          <c:spPr>
            <a:solidFill>
              <a:srgbClr val="93A9CF"/>
            </a:solidFill>
            <a:ln w="25400">
              <a:noFill/>
            </a:ln>
          </c:spPr>
          <c:invertIfNegative val="0"/>
          <c:val>
            <c:numRef>
              <c:f>'Non-DAC'!$B$52:$F$52</c:f>
              <c:numCache>
                <c:formatCode>_(* #\ ##0_);_(* \-#\ ##0_);_(* ".."_);_(@_)</c:formatCode>
                <c:ptCount val="5"/>
                <c:pt idx="0">
                  <c:v>4086.3100000000004</c:v>
                </c:pt>
                <c:pt idx="1">
                  <c:v>6527.76</c:v>
                </c:pt>
                <c:pt idx="2">
                  <c:v>4188.53</c:v>
                </c:pt>
                <c:pt idx="3">
                  <c:v>4102.2699999999995</c:v>
                </c:pt>
                <c:pt idx="4">
                  <c:v>5976.7532247889376</c:v>
                </c:pt>
              </c:numCache>
            </c:numRef>
          </c:val>
        </c:ser>
        <c:ser>
          <c:idx val="2"/>
          <c:order val="1"/>
          <c:tx>
            <c:v>BRICS</c:v>
          </c:tx>
          <c:spPr>
            <a:solidFill>
              <a:srgbClr val="89A54E"/>
            </a:solidFill>
            <a:ln w="25400">
              <a:noFill/>
            </a:ln>
          </c:spPr>
          <c:invertIfNegative val="0"/>
          <c:cat>
            <c:numRef>
              <c:f>'Non-DAC'!$B$6:$F$6</c:f>
              <c:numCache>
                <c:formatCode>General_)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'Non-DAC'!$B$14:$F$14</c:f>
              <c:numCache>
                <c:formatCode>0</c:formatCode>
                <c:ptCount val="5"/>
                <c:pt idx="0">
                  <c:v>2233.6701234427924</c:v>
                </c:pt>
                <c:pt idx="1">
                  <c:v>2839.91</c:v>
                </c:pt>
                <c:pt idx="2">
                  <c:v>2880.3981379048159</c:v>
                </c:pt>
                <c:pt idx="3">
                  <c:v>2737.3299916229457</c:v>
                </c:pt>
                <c:pt idx="4">
                  <c:v>3293.816323589886</c:v>
                </c:pt>
              </c:numCache>
            </c:numRef>
          </c:val>
        </c:ser>
        <c:ser>
          <c:idx val="5"/>
          <c:order val="2"/>
          <c:tx>
            <c:v>OECD non-DAC</c:v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val>
            <c:numRef>
              <c:f>'Non-DAC'!$B$37:$F$37</c:f>
              <c:numCache>
                <c:formatCode>_(* #\ ##0_);_(* \-#\ ##0_);_(* ".."_);_(@_)</c:formatCode>
                <c:ptCount val="5"/>
                <c:pt idx="0">
                  <c:v>1544.21</c:v>
                </c:pt>
                <c:pt idx="1">
                  <c:v>1876.54</c:v>
                </c:pt>
                <c:pt idx="2">
                  <c:v>1736.8399999999997</c:v>
                </c:pt>
                <c:pt idx="3">
                  <c:v>2011.71</c:v>
                </c:pt>
                <c:pt idx="4">
                  <c:v>2484.4932388379311</c:v>
                </c:pt>
              </c:numCache>
            </c:numRef>
          </c:val>
        </c:ser>
        <c:ser>
          <c:idx val="7"/>
          <c:order val="3"/>
          <c:tx>
            <c:v>Other</c:v>
          </c:tx>
          <c:spPr>
            <a:solidFill>
              <a:srgbClr val="D19392"/>
            </a:solidFill>
            <a:ln w="25400">
              <a:noFill/>
            </a:ln>
          </c:spPr>
          <c:invertIfNegative val="0"/>
          <c:val>
            <c:numRef>
              <c:f>'Non-DAC'!$B$53:$F$53</c:f>
              <c:numCache>
                <c:formatCode>_(* #\ ##0_);_(* \-#\ ##0_);_(* ".."_);_(@_)</c:formatCode>
                <c:ptCount val="5"/>
                <c:pt idx="0">
                  <c:v>697.15</c:v>
                </c:pt>
                <c:pt idx="1">
                  <c:v>867.33000000000015</c:v>
                </c:pt>
                <c:pt idx="2">
                  <c:v>746.74000000000012</c:v>
                </c:pt>
                <c:pt idx="3">
                  <c:v>689.22</c:v>
                </c:pt>
                <c:pt idx="4">
                  <c:v>784.47</c:v>
                </c:pt>
              </c:numCache>
            </c:numRef>
          </c:val>
        </c:ser>
        <c:ser>
          <c:idx val="8"/>
          <c:order val="4"/>
          <c:tx>
            <c:v>Grants by NGOs</c:v>
          </c:tx>
          <c:invertIfNegative val="0"/>
          <c:val>
            <c:numRef>
              <c:f>'Non-DAC'!$B$84:$F$84</c:f>
              <c:numCache>
                <c:formatCode>#\ ###_M</c:formatCode>
                <c:ptCount val="5"/>
                <c:pt idx="0">
                  <c:v>18351.64</c:v>
                </c:pt>
                <c:pt idx="1">
                  <c:v>23786.719999999998</c:v>
                </c:pt>
                <c:pt idx="2">
                  <c:v>22046.879999999997</c:v>
                </c:pt>
                <c:pt idx="3">
                  <c:v>30775.439999999999</c:v>
                </c:pt>
                <c:pt idx="4">
                  <c:v>30597.152099999996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808128"/>
        <c:axId val="93809664"/>
      </c:barChart>
      <c:catAx>
        <c:axId val="938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3809664"/>
        <c:crosses val="autoZero"/>
        <c:auto val="1"/>
        <c:lblAlgn val="ctr"/>
        <c:lblOffset val="100"/>
        <c:noMultiLvlLbl val="0"/>
      </c:catAx>
      <c:valAx>
        <c:axId val="9380966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\ ##0_);_(* \-#\ ##0_);_(* &quot;..&quot;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3808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0.02102</cdr:x>
      <cdr:y>0.94327</cdr:y>
    </cdr:from>
    <cdr:to>
      <cdr:x>0.27928</cdr:x>
      <cdr:y>0.98063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20" y="4320540"/>
          <a:ext cx="174498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1:T22" totalsRowShown="0" headerRowDxfId="18">
  <autoFilter ref="A1:T22"/>
  <tableColumns count="20">
    <tableColumn id="1" name="Column1" dataDxfId="17"/>
    <tableColumn id="2" name="Column2" dataDxfId="16"/>
    <tableColumn id="3" name="Column3" dataDxfId="15"/>
    <tableColumn id="19" name="Column32" dataDxfId="14"/>
    <tableColumn id="4" name="Column4" dataDxfId="13"/>
    <tableColumn id="5" name="Column5" dataDxfId="12"/>
    <tableColumn id="6" name="Column6" dataDxfId="11"/>
    <tableColumn id="7" name="Column7"/>
    <tableColumn id="8" name="Column8" dataDxfId="10"/>
    <tableColumn id="9" name="Column9" dataDxfId="9"/>
    <tableColumn id="10" name="Column10" dataDxfId="8"/>
    <tableColumn id="11" name="Column11" dataDxfId="7"/>
    <tableColumn id="12" name="Column12" dataDxfId="6"/>
    <tableColumn id="13" name="Column13" dataDxfId="5"/>
    <tableColumn id="14" name="Column14" dataDxfId="4"/>
    <tableColumn id="15" name="Column15" dataDxfId="3"/>
    <tableColumn id="16" name="Column16"/>
    <tableColumn id="17" name="Column17" dataDxfId="2"/>
    <tableColumn id="18" name="Column18" dataDxfId="1"/>
    <tableColumn id="21" name="Column18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8"/>
  <sheetViews>
    <sheetView showGridLines="0" zoomScaleNormal="100" zoomScalePageLayoutView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0" sqref="O30"/>
    </sheetView>
  </sheetViews>
  <sheetFormatPr defaultColWidth="12.6640625" defaultRowHeight="10.199999999999999" x14ac:dyDescent="0.2"/>
  <cols>
    <col min="1" max="2" width="12.6640625" style="2"/>
    <col min="3" max="4" width="14.44140625" style="2" customWidth="1"/>
    <col min="5" max="9" width="12.6640625" style="2"/>
    <col min="10" max="10" width="12.6640625" style="2" customWidth="1"/>
    <col min="11" max="14" width="12.6640625" style="2"/>
    <col min="15" max="17" width="12.6640625" style="2" customWidth="1"/>
    <col min="18" max="16384" width="12.6640625" style="2"/>
  </cols>
  <sheetData>
    <row r="1" spans="1:20" s="6" customFormat="1" ht="10.95" thickBot="1" x14ac:dyDescent="0.35">
      <c r="A1" s="9" t="s">
        <v>31</v>
      </c>
      <c r="B1" s="10" t="s">
        <v>32</v>
      </c>
      <c r="C1" s="10" t="s">
        <v>33</v>
      </c>
      <c r="D1" s="10" t="s">
        <v>66</v>
      </c>
      <c r="E1" s="10" t="s">
        <v>34</v>
      </c>
      <c r="F1" s="10" t="s">
        <v>35</v>
      </c>
      <c r="G1" s="10" t="s">
        <v>36</v>
      </c>
      <c r="H1" s="10" t="s">
        <v>37</v>
      </c>
      <c r="I1" s="10" t="s">
        <v>38</v>
      </c>
      <c r="J1" s="10" t="s">
        <v>39</v>
      </c>
      <c r="K1" s="10" t="s">
        <v>40</v>
      </c>
      <c r="L1" s="21" t="s">
        <v>41</v>
      </c>
      <c r="M1" s="10" t="s">
        <v>42</v>
      </c>
      <c r="N1" s="10" t="s">
        <v>43</v>
      </c>
      <c r="O1" s="10" t="s">
        <v>44</v>
      </c>
      <c r="P1" s="10" t="s">
        <v>45</v>
      </c>
      <c r="Q1" s="10" t="s">
        <v>46</v>
      </c>
      <c r="R1" s="10" t="s">
        <v>47</v>
      </c>
      <c r="S1" s="10" t="s">
        <v>48</v>
      </c>
      <c r="T1" s="10" t="s">
        <v>55</v>
      </c>
    </row>
    <row r="2" spans="1:20" s="1" customFormat="1" ht="51" x14ac:dyDescent="0.2">
      <c r="A2" s="9" t="s">
        <v>19</v>
      </c>
      <c r="B2" s="21" t="s">
        <v>23</v>
      </c>
      <c r="C2" s="10" t="s">
        <v>166</v>
      </c>
      <c r="D2" s="10" t="s">
        <v>67</v>
      </c>
      <c r="E2" s="10" t="s">
        <v>68</v>
      </c>
      <c r="F2" s="21" t="s">
        <v>24</v>
      </c>
      <c r="G2" s="10" t="s">
        <v>25</v>
      </c>
      <c r="H2" s="10" t="s">
        <v>167</v>
      </c>
      <c r="I2" s="10" t="s">
        <v>20</v>
      </c>
      <c r="J2" s="10" t="s">
        <v>21</v>
      </c>
      <c r="K2" s="21" t="s">
        <v>18</v>
      </c>
      <c r="L2" s="21" t="s">
        <v>16</v>
      </c>
      <c r="M2" s="10" t="s">
        <v>27</v>
      </c>
      <c r="N2" s="21" t="s">
        <v>26</v>
      </c>
      <c r="O2" s="10" t="s">
        <v>49</v>
      </c>
      <c r="P2" s="10" t="s">
        <v>168</v>
      </c>
      <c r="Q2" s="10" t="s">
        <v>28</v>
      </c>
      <c r="R2" s="10" t="s">
        <v>29</v>
      </c>
      <c r="S2" s="21" t="s">
        <v>22</v>
      </c>
      <c r="T2" s="10" t="s">
        <v>54</v>
      </c>
    </row>
    <row r="3" spans="1:20" s="1" customFormat="1" x14ac:dyDescent="0.2">
      <c r="A3" s="11" t="s">
        <v>8</v>
      </c>
      <c r="B3" s="22">
        <v>5.4397700000000002</v>
      </c>
      <c r="C3" s="12">
        <v>3.6333612989302884E-3</v>
      </c>
      <c r="D3" s="15">
        <f>B3-(B3/(1+E3))</f>
        <v>0.45345009295352412</v>
      </c>
      <c r="E3" s="13">
        <v>9.0938828917239187E-2</v>
      </c>
      <c r="F3" s="23">
        <v>5.3298136645962737</v>
      </c>
      <c r="G3" s="14">
        <v>5.01</v>
      </c>
      <c r="H3" s="12">
        <v>2.4629999999999999E-2</v>
      </c>
      <c r="I3" s="15">
        <f>G3/(1+H3)</f>
        <v>4.8895698935225402</v>
      </c>
      <c r="J3" s="16">
        <v>1.0351966873706004</v>
      </c>
      <c r="K3" s="23">
        <f>I3*J3</f>
        <v>5.0616665564415531</v>
      </c>
      <c r="L3" s="26">
        <f t="shared" ref="L3:L17" si="0">(F3-K3)/-F3</f>
        <v>-5.0310784772066214E-2</v>
      </c>
      <c r="M3" s="15">
        <f t="shared" ref="M3:M17" si="1">L3*B3</f>
        <v>-0.27367909767954263</v>
      </c>
      <c r="N3" s="22">
        <f t="shared" ref="N3:N17" si="2">B3+M3</f>
        <v>5.166090902320458</v>
      </c>
      <c r="O3" s="14">
        <v>1497.1728799999999</v>
      </c>
      <c r="P3" s="17">
        <v>0.03</v>
      </c>
      <c r="Q3" s="18">
        <f>O3*(1+P3)</f>
        <v>1542.0880663999999</v>
      </c>
      <c r="R3" s="12">
        <v>3.5999999999999999E-3</v>
      </c>
      <c r="S3" s="26">
        <f>N3/Q3</f>
        <v>3.350062175359856E-3</v>
      </c>
      <c r="T3" s="20" t="s">
        <v>50</v>
      </c>
    </row>
    <row r="4" spans="1:20" s="1" customFormat="1" x14ac:dyDescent="0.2">
      <c r="A4" s="11" t="s">
        <v>1</v>
      </c>
      <c r="B4" s="22">
        <v>2.3034699999999999</v>
      </c>
      <c r="C4" s="12">
        <v>4.7028095952856546E-3</v>
      </c>
      <c r="D4" s="15">
        <f t="shared" ref="D4:D22" si="3">B4-(B4/(1+E4))</f>
        <v>-0.34513652229294145</v>
      </c>
      <c r="E4" s="13">
        <v>-0.13030871871226501</v>
      </c>
      <c r="F4" s="23">
        <v>2.2841478149100256</v>
      </c>
      <c r="G4" s="14">
        <v>1.9712320000000001</v>
      </c>
      <c r="H4" s="12">
        <v>1.7260000000000001E-2</v>
      </c>
      <c r="I4" s="15">
        <f t="shared" ref="I4:I17" si="4">G4/(1+H4)</f>
        <v>1.9377858168019975</v>
      </c>
      <c r="J4" s="16">
        <v>1.2853470437017995</v>
      </c>
      <c r="K4" s="23">
        <f t="shared" ref="K4:K17" si="5">I4*J4</f>
        <v>2.4907272709537245</v>
      </c>
      <c r="L4" s="26">
        <f t="shared" si="0"/>
        <v>9.0440493691007554E-2</v>
      </c>
      <c r="M4" s="15">
        <f t="shared" si="1"/>
        <v>0.20832696400242517</v>
      </c>
      <c r="N4" s="22">
        <f t="shared" si="2"/>
        <v>2.5117969640024249</v>
      </c>
      <c r="O4" s="14">
        <v>489.80720000000002</v>
      </c>
      <c r="P4" s="17">
        <v>2E-3</v>
      </c>
      <c r="Q4" s="18">
        <f t="shared" ref="Q4:Q17" si="6">O4*(1+P4)</f>
        <v>490.78681440000003</v>
      </c>
      <c r="R4" s="12">
        <v>4.8999999999999998E-3</v>
      </c>
      <c r="S4" s="26">
        <f t="shared" ref="S4:S17" si="7">N4/Q4</f>
        <v>5.1178982203773414E-3</v>
      </c>
      <c r="T4" s="20" t="s">
        <v>51</v>
      </c>
    </row>
    <row r="5" spans="1:20" s="1" customFormat="1" x14ac:dyDescent="0.2">
      <c r="A5" s="11" t="s">
        <v>4</v>
      </c>
      <c r="B5" s="22">
        <v>5.6776</v>
      </c>
      <c r="C5" s="12">
        <v>3.1784597079903788E-3</v>
      </c>
      <c r="D5" s="15">
        <f t="shared" si="3"/>
        <v>0.22301737988714621</v>
      </c>
      <c r="E5" s="13">
        <v>4.088624105991312E-2</v>
      </c>
      <c r="F5" s="23">
        <v>5.4655724579663731</v>
      </c>
      <c r="G5" s="14">
        <v>5.2529000000000003</v>
      </c>
      <c r="H5" s="12">
        <v>1.489E-2</v>
      </c>
      <c r="I5" s="15">
        <f t="shared" si="4"/>
        <v>5.1758318635517151</v>
      </c>
      <c r="J5" s="16">
        <v>1.0008006405124099</v>
      </c>
      <c r="K5" s="23">
        <f t="shared" si="5"/>
        <v>5.1799758442270969</v>
      </c>
      <c r="L5" s="26">
        <f t="shared" si="0"/>
        <v>-5.2253742116803052E-2</v>
      </c>
      <c r="M5" s="15">
        <f t="shared" si="1"/>
        <v>-0.29667584624236099</v>
      </c>
      <c r="N5" s="22">
        <f t="shared" si="2"/>
        <v>5.3809241537576389</v>
      </c>
      <c r="O5" s="14">
        <v>1786.2740200000001</v>
      </c>
      <c r="P5" s="17">
        <v>1.4999999999999999E-2</v>
      </c>
      <c r="Q5" s="18">
        <f t="shared" si="6"/>
        <v>1813.0681302999999</v>
      </c>
      <c r="R5" s="12">
        <v>2.8E-3</v>
      </c>
      <c r="S5" s="26">
        <f t="shared" si="7"/>
        <v>2.9678554621481779E-3</v>
      </c>
      <c r="T5" s="20" t="s">
        <v>52</v>
      </c>
    </row>
    <row r="6" spans="1:20" s="1" customFormat="1" x14ac:dyDescent="0.2">
      <c r="A6" s="11" t="s">
        <v>6</v>
      </c>
      <c r="B6" s="22">
        <v>2.7182900000000001</v>
      </c>
      <c r="C6" s="12">
        <v>8.4119158570133065E-3</v>
      </c>
      <c r="D6" s="15">
        <f t="shared" si="3"/>
        <v>-4.9152739391539857E-2</v>
      </c>
      <c r="E6" s="13">
        <v>-1.7761068256952079E-2</v>
      </c>
      <c r="F6" s="23">
        <v>2.6693034422010742</v>
      </c>
      <c r="G6" s="14">
        <v>15.821</v>
      </c>
      <c r="H6" s="12">
        <v>0.02</v>
      </c>
      <c r="I6" s="15">
        <f t="shared" si="4"/>
        <v>15.510784313725489</v>
      </c>
      <c r="J6" s="16">
        <v>0.17271455465552082</v>
      </c>
      <c r="K6" s="23">
        <f t="shared" si="5"/>
        <v>2.678938205102936</v>
      </c>
      <c r="L6" s="26">
        <f t="shared" si="0"/>
        <v>3.6094670802646256E-3</v>
      </c>
      <c r="M6" s="16">
        <f t="shared" si="1"/>
        <v>9.8115782696125298E-3</v>
      </c>
      <c r="N6" s="22">
        <f t="shared" si="2"/>
        <v>2.7281015782696127</v>
      </c>
      <c r="O6" s="14">
        <v>323.14754999999997</v>
      </c>
      <c r="P6" s="17">
        <v>8.0000000000000002E-3</v>
      </c>
      <c r="Q6" s="18">
        <f t="shared" si="6"/>
        <v>325.73273039999998</v>
      </c>
      <c r="R6" s="12">
        <v>8.3000000000000001E-3</v>
      </c>
      <c r="S6" s="26">
        <f t="shared" si="7"/>
        <v>8.3752761809336822E-3</v>
      </c>
      <c r="T6" s="20" t="s">
        <v>51</v>
      </c>
    </row>
    <row r="7" spans="1:20" s="1" customFormat="1" x14ac:dyDescent="0.2">
      <c r="A7" s="11" t="s">
        <v>14</v>
      </c>
      <c r="B7" s="22">
        <v>12</v>
      </c>
      <c r="C7" s="12">
        <v>4.5172131682756685E-3</v>
      </c>
      <c r="D7" s="15">
        <f t="shared" si="3"/>
        <v>-0.19934203424988617</v>
      </c>
      <c r="E7" s="13">
        <v>-1.6340392267896815E-2</v>
      </c>
      <c r="F7" s="23">
        <v>12.474293060000001</v>
      </c>
      <c r="G7" s="14">
        <v>9.8260000000000005</v>
      </c>
      <c r="H7" s="12">
        <v>1.5700000000000002E-2</v>
      </c>
      <c r="I7" s="15">
        <f t="shared" si="4"/>
        <v>9.6741163729447663</v>
      </c>
      <c r="J7" s="16">
        <v>1.2853470437017995</v>
      </c>
      <c r="K7" s="23">
        <f t="shared" si="5"/>
        <v>12.43459688039173</v>
      </c>
      <c r="L7" s="26">
        <f t="shared" si="0"/>
        <v>-3.18223881845138E-3</v>
      </c>
      <c r="M7" s="15">
        <f t="shared" si="1"/>
        <v>-3.818686582141656E-2</v>
      </c>
      <c r="N7" s="22">
        <f t="shared" si="2"/>
        <v>11.961813134178584</v>
      </c>
      <c r="O7" s="14">
        <v>2656.5051400000002</v>
      </c>
      <c r="P7" s="17">
        <v>-1E-3</v>
      </c>
      <c r="Q7" s="18">
        <f t="shared" si="6"/>
        <v>2653.8486348600004</v>
      </c>
      <c r="R7" s="12">
        <v>4.5999999999999999E-3</v>
      </c>
      <c r="S7" s="26">
        <f t="shared" si="7"/>
        <v>4.5073456628432051E-3</v>
      </c>
      <c r="T7" s="20" t="s">
        <v>51</v>
      </c>
    </row>
    <row r="8" spans="1:20" s="1" customFormat="1" x14ac:dyDescent="0.2">
      <c r="A8" s="11" t="s">
        <v>9</v>
      </c>
      <c r="B8" s="22">
        <v>13.108169999999999</v>
      </c>
      <c r="C8" s="12">
        <v>3.7837234301693699E-3</v>
      </c>
      <c r="D8" s="15">
        <f t="shared" si="3"/>
        <v>-9.560197462636566E-2</v>
      </c>
      <c r="E8" s="13">
        <v>-7.2405048201440491E-3</v>
      </c>
      <c r="F8" s="23">
        <v>8.2042544987146524</v>
      </c>
      <c r="G8" s="14">
        <v>6.2964409999999997</v>
      </c>
      <c r="H8" s="12">
        <v>1.6109999999999999E-2</v>
      </c>
      <c r="I8" s="15">
        <f t="shared" si="4"/>
        <v>6.1966135556189776</v>
      </c>
      <c r="J8" s="16">
        <v>1.2853470437017995</v>
      </c>
      <c r="K8" s="23">
        <f t="shared" si="5"/>
        <v>7.964798914677349</v>
      </c>
      <c r="L8" s="26">
        <f t="shared" si="0"/>
        <v>-2.9186757197112608E-2</v>
      </c>
      <c r="M8" s="15">
        <f t="shared" si="1"/>
        <v>-0.38258497508847555</v>
      </c>
      <c r="N8" s="22">
        <f t="shared" si="2"/>
        <v>12.725585024911524</v>
      </c>
      <c r="O8" s="14">
        <v>3464.3573300000003</v>
      </c>
      <c r="P8" s="17">
        <v>6.0000000000000001E-3</v>
      </c>
      <c r="Q8" s="18">
        <f t="shared" si="6"/>
        <v>3485.1434739800002</v>
      </c>
      <c r="R8" s="12"/>
      <c r="S8" s="26">
        <f t="shared" si="7"/>
        <v>3.6513805299323958E-3</v>
      </c>
      <c r="T8" s="20" t="s">
        <v>51</v>
      </c>
    </row>
    <row r="9" spans="1:20" s="1" customFormat="1" x14ac:dyDescent="0.2">
      <c r="A9" s="11" t="s">
        <v>11</v>
      </c>
      <c r="B9" s="22">
        <v>2.63923</v>
      </c>
      <c r="C9" s="12">
        <v>1.3208696544586807E-3</v>
      </c>
      <c r="D9" s="15">
        <f t="shared" si="3"/>
        <v>-1.4052594818113229</v>
      </c>
      <c r="E9" s="13">
        <v>-0.34745039840775604</v>
      </c>
      <c r="F9" s="23">
        <v>2.557840616966581</v>
      </c>
      <c r="G9" s="14">
        <v>2.35</v>
      </c>
      <c r="H9" s="12">
        <v>1.9870000000000002E-2</v>
      </c>
      <c r="I9" s="15">
        <f t="shared" si="4"/>
        <v>2.3042152431192209</v>
      </c>
      <c r="J9" s="16">
        <v>1.2853470437017995</v>
      </c>
      <c r="K9" s="23">
        <f t="shared" si="5"/>
        <v>2.9617162507959138</v>
      </c>
      <c r="L9" s="26">
        <f t="shared" si="0"/>
        <v>0.15789710709508586</v>
      </c>
      <c r="M9" s="15">
        <f t="shared" si="1"/>
        <v>0.41672678195856344</v>
      </c>
      <c r="N9" s="22">
        <f t="shared" si="2"/>
        <v>3.0559567819585634</v>
      </c>
      <c r="O9" s="14">
        <v>1998.1002599999999</v>
      </c>
      <c r="P9" s="17">
        <v>-1.4999999999999999E-2</v>
      </c>
      <c r="Q9" s="18">
        <f t="shared" si="6"/>
        <v>1968.1287560999999</v>
      </c>
      <c r="R9" s="12">
        <v>1.6000000000000001E-3</v>
      </c>
      <c r="S9" s="26">
        <f t="shared" si="7"/>
        <v>1.5527219814694335E-3</v>
      </c>
      <c r="T9" s="20" t="s">
        <v>50</v>
      </c>
    </row>
    <row r="10" spans="1:20" s="1" customFormat="1" ht="13.2" customHeight="1" x14ac:dyDescent="0.2">
      <c r="A10" s="11" t="s">
        <v>12</v>
      </c>
      <c r="B10" s="22">
        <v>10.49353</v>
      </c>
      <c r="C10" s="12">
        <v>1.7064522148732663E-3</v>
      </c>
      <c r="D10" s="15">
        <f t="shared" si="3"/>
        <v>-0.22777097771120225</v>
      </c>
      <c r="E10" s="13">
        <v>-2.1244714441346343E-2</v>
      </c>
      <c r="F10" s="23">
        <v>12.378842703499155</v>
      </c>
      <c r="G10" s="14">
        <v>941.7</v>
      </c>
      <c r="H10" s="12">
        <v>6.2E-4</v>
      </c>
      <c r="I10" s="15">
        <f t="shared" si="4"/>
        <v>941.11650776518559</v>
      </c>
      <c r="J10" s="16">
        <v>1.2529193019735986E-2</v>
      </c>
      <c r="K10" s="23">
        <f t="shared" si="5"/>
        <v>11.791430379849871</v>
      </c>
      <c r="L10" s="26">
        <f t="shared" si="0"/>
        <v>-4.7452927363172547E-2</v>
      </c>
      <c r="M10" s="15">
        <f t="shared" si="1"/>
        <v>-0.49794871687327202</v>
      </c>
      <c r="N10" s="22">
        <f t="shared" si="2"/>
        <v>9.995581283126727</v>
      </c>
      <c r="O10" s="14">
        <v>6149.3254299999999</v>
      </c>
      <c r="P10" s="17">
        <v>1.6E-2</v>
      </c>
      <c r="Q10" s="18">
        <f t="shared" si="6"/>
        <v>6247.7146368800004</v>
      </c>
      <c r="R10" s="12"/>
      <c r="S10" s="26">
        <f t="shared" si="7"/>
        <v>1.5998780136537007E-3</v>
      </c>
      <c r="T10" s="20" t="s">
        <v>52</v>
      </c>
    </row>
    <row r="11" spans="1:20" s="1" customFormat="1" x14ac:dyDescent="0.2">
      <c r="A11" s="11" t="s">
        <v>2</v>
      </c>
      <c r="B11" s="22">
        <v>5.5238699999999996</v>
      </c>
      <c r="C11" s="12">
        <v>7.0800178506779865E-3</v>
      </c>
      <c r="D11" s="15">
        <f t="shared" si="3"/>
        <v>-0.38740329125198247</v>
      </c>
      <c r="E11" s="13">
        <v>-6.5536352688226315E-2</v>
      </c>
      <c r="F11" s="23">
        <v>6.4267352185089974</v>
      </c>
      <c r="G11" s="14">
        <v>4</v>
      </c>
      <c r="H11" s="12">
        <v>2.8159999999999998E-2</v>
      </c>
      <c r="I11" s="15">
        <f t="shared" si="4"/>
        <v>3.8904450669156554</v>
      </c>
      <c r="J11" s="16">
        <v>1.2853470437017995</v>
      </c>
      <c r="K11" s="23">
        <f t="shared" si="5"/>
        <v>5.0005720654442873</v>
      </c>
      <c r="L11" s="26">
        <f t="shared" si="0"/>
        <v>-0.22191098661686889</v>
      </c>
      <c r="M11" s="15">
        <f t="shared" si="1"/>
        <v>-1.2258074416433236</v>
      </c>
      <c r="N11" s="22">
        <f t="shared" si="2"/>
        <v>4.2980625583566763</v>
      </c>
      <c r="O11" s="14">
        <v>780.20566000000008</v>
      </c>
      <c r="P11" s="17">
        <v>-5.0000000000000001E-3</v>
      </c>
      <c r="Q11" s="18">
        <f t="shared" si="6"/>
        <v>776.30463170000007</v>
      </c>
      <c r="R11" s="12">
        <v>7.1999999999999998E-3</v>
      </c>
      <c r="S11" s="26">
        <f t="shared" si="7"/>
        <v>5.5365669388633071E-3</v>
      </c>
      <c r="T11" s="20" t="s">
        <v>51</v>
      </c>
    </row>
    <row r="12" spans="1:20" s="1" customFormat="1" x14ac:dyDescent="0.2">
      <c r="A12" s="11" t="s">
        <v>7</v>
      </c>
      <c r="B12" s="22">
        <v>4.7541499999999992</v>
      </c>
      <c r="C12" s="12">
        <v>9.2962084906785276E-3</v>
      </c>
      <c r="D12" s="15">
        <f t="shared" si="3"/>
        <v>1.7708408734289804E-2</v>
      </c>
      <c r="E12" s="13">
        <v>3.738757966939905E-3</v>
      </c>
      <c r="F12" s="23">
        <v>4.7808216822301333</v>
      </c>
      <c r="G12" s="14">
        <v>30.2</v>
      </c>
      <c r="H12" s="12">
        <v>1.4999999999999999E-2</v>
      </c>
      <c r="I12" s="15">
        <f t="shared" si="4"/>
        <v>29.75369458128079</v>
      </c>
      <c r="J12" s="16">
        <v>0.17197200295791845</v>
      </c>
      <c r="K12" s="23">
        <f t="shared" si="5"/>
        <v>5.1168024525410223</v>
      </c>
      <c r="L12" s="26">
        <f t="shared" si="0"/>
        <v>7.0276783499308937E-2</v>
      </c>
      <c r="M12" s="15">
        <f t="shared" si="1"/>
        <v>0.33410637027323953</v>
      </c>
      <c r="N12" s="22">
        <f t="shared" si="2"/>
        <v>5.0882563702732391</v>
      </c>
      <c r="O12" s="14">
        <v>511.40742</v>
      </c>
      <c r="P12" s="17">
        <v>2.5000000000000001E-2</v>
      </c>
      <c r="Q12" s="18">
        <f t="shared" si="6"/>
        <v>524.19260550000001</v>
      </c>
      <c r="R12" s="12">
        <v>0.01</v>
      </c>
      <c r="S12" s="26">
        <f t="shared" si="7"/>
        <v>9.7068449972120777E-3</v>
      </c>
      <c r="T12" s="20" t="s">
        <v>51</v>
      </c>
    </row>
    <row r="13" spans="1:20" s="1" customFormat="1" x14ac:dyDescent="0.2">
      <c r="A13" s="11" t="s">
        <v>10</v>
      </c>
      <c r="B13" s="22">
        <v>1.94798</v>
      </c>
      <c r="C13" s="12">
        <v>1.4577336708206019E-3</v>
      </c>
      <c r="D13" s="15">
        <f t="shared" si="3"/>
        <v>-1.921175700258446</v>
      </c>
      <c r="E13" s="13">
        <v>-0.49653615648760746</v>
      </c>
      <c r="F13" s="23">
        <v>2.6850385604113112</v>
      </c>
      <c r="G13" s="14">
        <v>2.048</v>
      </c>
      <c r="H13" s="12">
        <v>1.9400000000000001E-2</v>
      </c>
      <c r="I13" s="15">
        <f t="shared" si="4"/>
        <v>2.009024916617618</v>
      </c>
      <c r="J13" s="16">
        <v>1.2853470437017995</v>
      </c>
      <c r="K13" s="23">
        <f t="shared" si="5"/>
        <v>2.5822942372977096</v>
      </c>
      <c r="L13" s="26">
        <f t="shared" si="0"/>
        <v>-3.826549258118013E-2</v>
      </c>
      <c r="M13" s="15">
        <f t="shared" si="1"/>
        <v>-7.4540414238287278E-2</v>
      </c>
      <c r="N13" s="22">
        <f t="shared" si="2"/>
        <v>1.8734395857617128</v>
      </c>
      <c r="O13" s="14">
        <v>1336.3072</v>
      </c>
      <c r="P13" s="17">
        <v>-1.6E-2</v>
      </c>
      <c r="Q13" s="18">
        <f t="shared" si="6"/>
        <v>1314.9262847999998</v>
      </c>
      <c r="R13" s="12">
        <v>2E-3</v>
      </c>
      <c r="S13" s="26">
        <f t="shared" si="7"/>
        <v>1.4247487539171542E-3</v>
      </c>
      <c r="T13" s="20" t="s">
        <v>51</v>
      </c>
    </row>
    <row r="14" spans="1:20" s="1" customFormat="1" x14ac:dyDescent="0.2">
      <c r="A14" s="11" t="s">
        <v>3</v>
      </c>
      <c r="B14" s="22">
        <v>5.2420200000000001</v>
      </c>
      <c r="C14" s="12">
        <v>9.8822242068286967E-3</v>
      </c>
      <c r="D14" s="15">
        <f t="shared" si="3"/>
        <v>-0.18634099460706199</v>
      </c>
      <c r="E14" s="13">
        <v>-3.4327303359556846E-2</v>
      </c>
      <c r="F14" s="23">
        <v>5.2888947982685526</v>
      </c>
      <c r="G14" s="14">
        <v>38.200000000000003</v>
      </c>
      <c r="H14" s="12">
        <v>3.0000000000000001E-3</v>
      </c>
      <c r="I14" s="15">
        <f t="shared" si="4"/>
        <v>38.085742771684949</v>
      </c>
      <c r="J14" s="16">
        <v>0.14773449157174726</v>
      </c>
      <c r="K14" s="23">
        <f t="shared" si="5"/>
        <v>5.6265778445072243</v>
      </c>
      <c r="L14" s="26">
        <f t="shared" si="0"/>
        <v>6.3847563454886722E-2</v>
      </c>
      <c r="M14" s="15">
        <f t="shared" si="1"/>
        <v>0.33469020458178528</v>
      </c>
      <c r="N14" s="22">
        <f t="shared" si="2"/>
        <v>5.5767102045817856</v>
      </c>
      <c r="O14" s="14">
        <v>530.44941000000006</v>
      </c>
      <c r="P14" s="17">
        <v>0.01</v>
      </c>
      <c r="Q14" s="18">
        <f t="shared" si="6"/>
        <v>535.75390410000011</v>
      </c>
      <c r="R14" s="12">
        <v>0.01</v>
      </c>
      <c r="S14" s="26">
        <f t="shared" si="7"/>
        <v>1.0409089251435254E-2</v>
      </c>
      <c r="T14" s="20" t="s">
        <v>51</v>
      </c>
    </row>
    <row r="15" spans="1:20" s="1" customFormat="1" x14ac:dyDescent="0.2">
      <c r="A15" s="11" t="s">
        <v>5</v>
      </c>
      <c r="B15" s="22">
        <v>3.0219299999999998</v>
      </c>
      <c r="C15" s="12">
        <v>4.5264927286845485E-3</v>
      </c>
      <c r="D15" s="15">
        <f t="shared" si="3"/>
        <v>0.12985051724516561</v>
      </c>
      <c r="E15" s="13">
        <v>4.4898668248729061E-2</v>
      </c>
      <c r="F15" s="23">
        <v>1.96099584</v>
      </c>
      <c r="G15" s="14">
        <v>2.0042297000000002</v>
      </c>
      <c r="H15" s="12">
        <v>-2E-3</v>
      </c>
      <c r="I15" s="15">
        <f t="shared" si="4"/>
        <v>2.0082461923847696</v>
      </c>
      <c r="J15" s="16">
        <v>1.0666666666666667</v>
      </c>
      <c r="K15" s="23">
        <f t="shared" si="5"/>
        <v>2.1421292718770877</v>
      </c>
      <c r="L15" s="26">
        <f t="shared" si="0"/>
        <v>9.2368085736014433E-2</v>
      </c>
      <c r="M15" s="15">
        <f t="shared" si="1"/>
        <v>0.27912988932823407</v>
      </c>
      <c r="N15" s="22">
        <f t="shared" si="2"/>
        <v>3.3010598893282337</v>
      </c>
      <c r="O15" s="14">
        <v>667.6096</v>
      </c>
      <c r="P15" s="17">
        <v>1.3000000000000001E-2</v>
      </c>
      <c r="Q15" s="18">
        <f t="shared" si="6"/>
        <v>676.28852479999989</v>
      </c>
      <c r="R15" s="12">
        <v>5.0000000000000001E-3</v>
      </c>
      <c r="S15" s="26">
        <f t="shared" si="7"/>
        <v>4.8811413594581727E-3</v>
      </c>
      <c r="T15" s="20" t="s">
        <v>51</v>
      </c>
    </row>
    <row r="16" spans="1:20" s="1" customFormat="1" x14ac:dyDescent="0.2">
      <c r="A16" s="11" t="s">
        <v>13</v>
      </c>
      <c r="B16" s="22">
        <v>13.659409999999999</v>
      </c>
      <c r="C16" s="12">
        <v>5.5955316299878544E-3</v>
      </c>
      <c r="D16" s="15">
        <f t="shared" si="3"/>
        <v>-0.30344598740739315</v>
      </c>
      <c r="E16" s="13">
        <v>-2.1732372494643038E-2</v>
      </c>
      <c r="F16" s="23">
        <v>13.707811757249248</v>
      </c>
      <c r="G16" s="14">
        <v>11.3</v>
      </c>
      <c r="H16" s="12">
        <v>2.6539999999999998E-2</v>
      </c>
      <c r="I16" s="15">
        <f t="shared" si="4"/>
        <v>11.007851618056774</v>
      </c>
      <c r="J16" s="16">
        <v>1.5845349389954049</v>
      </c>
      <c r="K16" s="23">
        <f t="shared" si="5"/>
        <v>17.442325492088059</v>
      </c>
      <c r="L16" s="26">
        <f t="shared" si="0"/>
        <v>0.27243689955574779</v>
      </c>
      <c r="M16" s="15">
        <f t="shared" si="1"/>
        <v>3.7213273101607767</v>
      </c>
      <c r="N16" s="22">
        <f t="shared" si="2"/>
        <v>17.380737310160775</v>
      </c>
      <c r="O16" s="14">
        <v>2441.1281899999999</v>
      </c>
      <c r="P16" s="17">
        <v>6.9999999999999993E-3</v>
      </c>
      <c r="Q16" s="18">
        <f t="shared" si="6"/>
        <v>2458.2160873299995</v>
      </c>
      <c r="R16" s="12">
        <v>6.9999999999999993E-3</v>
      </c>
      <c r="S16" s="26">
        <f t="shared" si="7"/>
        <v>7.0704676451120814E-3</v>
      </c>
      <c r="T16" s="20" t="s">
        <v>52</v>
      </c>
    </row>
    <row r="17" spans="1:20" s="1" customFormat="1" x14ac:dyDescent="0.2">
      <c r="A17" s="11" t="s">
        <v>0</v>
      </c>
      <c r="B17" s="22">
        <v>30.460369999999998</v>
      </c>
      <c r="C17" s="12">
        <v>1.942439817619488E-3</v>
      </c>
      <c r="D17" s="15">
        <f t="shared" si="3"/>
        <v>-0.89163893376270664</v>
      </c>
      <c r="E17" s="13">
        <v>-2.8439610860231251E-2</v>
      </c>
      <c r="F17" s="23">
        <v>27.961490000000001</v>
      </c>
      <c r="G17" s="14">
        <v>26.85</v>
      </c>
      <c r="H17" s="12">
        <v>1.8280000000000001E-2</v>
      </c>
      <c r="I17" s="15">
        <f t="shared" si="4"/>
        <v>26.367993086380956</v>
      </c>
      <c r="J17" s="16">
        <v>1</v>
      </c>
      <c r="K17" s="23">
        <f t="shared" si="5"/>
        <v>26.367993086380956</v>
      </c>
      <c r="L17" s="26">
        <f t="shared" si="0"/>
        <v>-5.6988984264395255E-2</v>
      </c>
      <c r="M17" s="15">
        <f t="shared" si="1"/>
        <v>-1.7359055466176572</v>
      </c>
      <c r="N17" s="22">
        <f t="shared" si="2"/>
        <v>28.724464453382339</v>
      </c>
      <c r="O17" s="14">
        <v>15681.5</v>
      </c>
      <c r="P17" s="17">
        <v>1.9E-2</v>
      </c>
      <c r="Q17" s="18">
        <f t="shared" si="6"/>
        <v>15979.448499999999</v>
      </c>
      <c r="R17" s="12"/>
      <c r="S17" s="26">
        <f t="shared" si="7"/>
        <v>1.797587973914265E-3</v>
      </c>
      <c r="T17" s="20" t="s">
        <v>53</v>
      </c>
    </row>
    <row r="18" spans="1:20" s="1" customFormat="1" x14ac:dyDescent="0.2">
      <c r="A18" s="11"/>
      <c r="B18" s="22"/>
      <c r="C18" s="15"/>
      <c r="D18" s="15"/>
      <c r="E18" s="11"/>
      <c r="F18" s="23"/>
      <c r="G18" s="14"/>
      <c r="H18" s="15"/>
      <c r="I18" s="15"/>
      <c r="J18" s="15"/>
      <c r="K18" s="23"/>
      <c r="L18" s="26"/>
      <c r="M18" s="11"/>
      <c r="N18" s="24"/>
      <c r="O18" s="14"/>
      <c r="P18" s="14"/>
      <c r="Q18" s="14"/>
      <c r="R18" s="15"/>
      <c r="S18" s="22"/>
      <c r="T18" s="15"/>
    </row>
    <row r="19" spans="1:20" s="1" customFormat="1" x14ac:dyDescent="0.2">
      <c r="A19" s="11" t="s">
        <v>30</v>
      </c>
      <c r="B19" s="23">
        <f>SUM(B3:B17)</f>
        <v>118.98978999999999</v>
      </c>
      <c r="C19" s="12">
        <f>B19/O19</f>
        <v>2.9516263366905549E-3</v>
      </c>
      <c r="D19" s="15">
        <f t="shared" si="3"/>
        <v>-5.3781657848224995</v>
      </c>
      <c r="E19" s="12">
        <v>-4.3243983153728321E-2</v>
      </c>
      <c r="F19" s="23">
        <f>SUM(F3:F17)</f>
        <v>114.17585611552236</v>
      </c>
      <c r="G19" s="14"/>
      <c r="H19" s="12"/>
      <c r="I19" s="11"/>
      <c r="J19" s="11"/>
      <c r="K19" s="23">
        <f>SUM(K3:K17)</f>
        <v>114.84254475257652</v>
      </c>
      <c r="L19" s="26">
        <f>(F19-K19)/-F19</f>
        <v>5.8391384985946541E-3</v>
      </c>
      <c r="M19" s="15">
        <f>SUM(M3:M17)</f>
        <v>0.77879019437030061</v>
      </c>
      <c r="N19" s="22">
        <f>SUM(N3:N17)</f>
        <v>119.7685801943703</v>
      </c>
      <c r="O19" s="15">
        <f>SUM(O3:O17)</f>
        <v>40313.297290000002</v>
      </c>
      <c r="P19" s="12">
        <f>(Q19-O19)/O19</f>
        <v>1.1865675191710431E-2</v>
      </c>
      <c r="Q19" s="15">
        <f>SUM(Q3:Q17)</f>
        <v>40791.641781550003</v>
      </c>
      <c r="R19" s="11"/>
      <c r="S19" s="29">
        <f>N19/Q19</f>
        <v>2.936105902178751E-3</v>
      </c>
      <c r="T19" s="19"/>
    </row>
    <row r="20" spans="1:20" s="1" customFormat="1" x14ac:dyDescent="0.2">
      <c r="A20" s="11" t="s">
        <v>15</v>
      </c>
      <c r="B20" s="22">
        <v>125.58647999999999</v>
      </c>
      <c r="C20" s="12">
        <f>B20/O20</f>
        <v>2.9249407939837633E-3</v>
      </c>
      <c r="D20" s="15">
        <f t="shared" si="3"/>
        <v>-5.2327700000000164</v>
      </c>
      <c r="E20" s="12">
        <v>-0.04</v>
      </c>
      <c r="F20" s="23"/>
      <c r="G20" s="14"/>
      <c r="H20" s="11"/>
      <c r="I20" s="11"/>
      <c r="J20" s="11"/>
      <c r="K20" s="23"/>
      <c r="L20" s="26">
        <f>(N20-B20)/B20</f>
        <v>5.5738702419445615E-3</v>
      </c>
      <c r="M20" s="15">
        <f>N20-B20</f>
        <v>0.70000274366256576</v>
      </c>
      <c r="N20" s="28">
        <f>AVERAGE(N24,N25)</f>
        <v>126.28648274366256</v>
      </c>
      <c r="O20" s="15">
        <v>42936.417809999999</v>
      </c>
      <c r="P20" s="12">
        <f>P19</f>
        <v>1.1865675191710431E-2</v>
      </c>
      <c r="Q20" s="18">
        <f t="shared" ref="Q20" si="8">O20*(1+(P20/100))</f>
        <v>42941.512505876293</v>
      </c>
      <c r="R20" s="11"/>
      <c r="S20" s="29">
        <f>N20/Q20</f>
        <v>2.9408950773771882E-3</v>
      </c>
      <c r="T20" s="19"/>
    </row>
    <row r="21" spans="1:20" s="3" customFormat="1" x14ac:dyDescent="0.2">
      <c r="A21" s="11"/>
      <c r="B21" s="24"/>
      <c r="C21" s="11"/>
      <c r="D21" s="15"/>
      <c r="E21" s="11"/>
      <c r="F21" s="24"/>
      <c r="G21" s="11"/>
      <c r="H21" s="11"/>
      <c r="I21" s="11"/>
      <c r="J21" s="11"/>
      <c r="K21" s="24"/>
      <c r="L21" s="24"/>
      <c r="M21" s="11"/>
      <c r="N21" s="24"/>
      <c r="O21" s="11"/>
      <c r="P21" s="11"/>
      <c r="Q21" s="11"/>
      <c r="R21" s="11"/>
      <c r="S21" s="24"/>
      <c r="T21" s="11"/>
    </row>
    <row r="22" spans="1:20" ht="10.95" thickBot="1" x14ac:dyDescent="0.25">
      <c r="A22" s="15" t="s">
        <v>17</v>
      </c>
      <c r="B22" s="25">
        <f>SUM(B3:B15,B17)</f>
        <v>105.33037999999999</v>
      </c>
      <c r="C22" s="12">
        <f>B22/O22</f>
        <v>2.7812080084950821E-3</v>
      </c>
      <c r="D22" s="15">
        <f t="shared" si="3"/>
        <v>-5.194677712486893</v>
      </c>
      <c r="E22" s="12">
        <v>-4.7E-2</v>
      </c>
      <c r="F22" s="25">
        <f>SUM(F3:F15,F17)</f>
        <v>100.46804435827312</v>
      </c>
      <c r="G22" s="15"/>
      <c r="H22" s="15"/>
      <c r="I22" s="15"/>
      <c r="J22" s="15"/>
      <c r="K22" s="25">
        <f>SUM(K3:K15,K17)</f>
        <v>97.400219260488456</v>
      </c>
      <c r="L22" s="27">
        <f>(F22-K22)/-F22</f>
        <v>-3.0535332078771977E-2</v>
      </c>
      <c r="M22" s="15">
        <f>L22*B22</f>
        <v>-3.2162981312832422</v>
      </c>
      <c r="N22" s="25">
        <f>B22+M22</f>
        <v>102.11408186871675</v>
      </c>
      <c r="O22" s="15">
        <f>SUM(O3:O15,O17)</f>
        <v>37872.169099999999</v>
      </c>
      <c r="P22" s="12">
        <f>(Q22-O22)/O22</f>
        <v>1.2179302247042452E-2</v>
      </c>
      <c r="Q22" s="15">
        <f>SUM(Q3:Q15,Q17)</f>
        <v>38333.425694220001</v>
      </c>
      <c r="R22" s="15"/>
      <c r="S22" s="30">
        <f>N22/Q22</f>
        <v>2.663839195673914E-3</v>
      </c>
      <c r="T22" s="19"/>
    </row>
    <row r="23" spans="1:20" ht="10.95" thickBot="1" x14ac:dyDescent="0.25">
      <c r="A23" s="7"/>
      <c r="K23" s="4"/>
    </row>
    <row r="24" spans="1:20" ht="14.4" x14ac:dyDescent="0.3">
      <c r="A24" s="31" t="s">
        <v>57</v>
      </c>
      <c r="B24" s="32"/>
      <c r="C24" s="32"/>
      <c r="D24" s="32"/>
      <c r="E24" s="33"/>
      <c r="H24"/>
      <c r="K24" s="4"/>
      <c r="M24" s="145" t="s">
        <v>164</v>
      </c>
      <c r="N24" s="146">
        <f>(K19+(B20-F19))</f>
        <v>126.25316863705415</v>
      </c>
    </row>
    <row r="25" spans="1:20" ht="14.4" x14ac:dyDescent="0.3">
      <c r="A25" s="34" t="s">
        <v>69</v>
      </c>
      <c r="E25" s="35"/>
      <c r="H25"/>
      <c r="M25" s="34" t="s">
        <v>163</v>
      </c>
      <c r="N25" s="147">
        <f>(K19+((1+L19)*(B20-F19)))</f>
        <v>126.31979685027099</v>
      </c>
    </row>
    <row r="26" spans="1:20" ht="15" thickBot="1" x14ac:dyDescent="0.35">
      <c r="A26" s="34" t="s">
        <v>56</v>
      </c>
      <c r="E26" s="35"/>
      <c r="H26"/>
      <c r="M26" s="148" t="s">
        <v>165</v>
      </c>
      <c r="N26" s="149">
        <f>N25-N24</f>
        <v>6.6628213216844756E-2</v>
      </c>
    </row>
    <row r="27" spans="1:20" ht="14.4" x14ac:dyDescent="0.3">
      <c r="A27" s="36" t="s">
        <v>169</v>
      </c>
      <c r="E27" s="35"/>
      <c r="H27"/>
    </row>
    <row r="28" spans="1:20" ht="15" thickBot="1" x14ac:dyDescent="0.35">
      <c r="A28" s="37"/>
      <c r="B28" s="38"/>
      <c r="C28" s="38"/>
      <c r="D28" s="38"/>
      <c r="E28" s="39"/>
      <c r="H28"/>
    </row>
    <row r="29" spans="1:20" ht="14.4" x14ac:dyDescent="0.3">
      <c r="A29" s="8"/>
      <c r="H29"/>
    </row>
    <row r="30" spans="1:20" ht="14.4" x14ac:dyDescent="0.3">
      <c r="A30" s="5"/>
      <c r="H30"/>
      <c r="O30" s="4"/>
    </row>
    <row r="31" spans="1:20" ht="14.4" x14ac:dyDescent="0.3">
      <c r="H31"/>
    </row>
    <row r="32" spans="1:20" ht="14.4" x14ac:dyDescent="0.3">
      <c r="C32" s="2">
        <f>AVERAGE((2+3),(3+4))</f>
        <v>6</v>
      </c>
      <c r="H32"/>
    </row>
    <row r="33" spans="8:8" ht="14.4" x14ac:dyDescent="0.3">
      <c r="H33"/>
    </row>
    <row r="34" spans="8:8" ht="14.4" x14ac:dyDescent="0.3">
      <c r="H34"/>
    </row>
    <row r="35" spans="8:8" ht="14.4" x14ac:dyDescent="0.3">
      <c r="H35"/>
    </row>
    <row r="36" spans="8:8" ht="14.4" x14ac:dyDescent="0.3">
      <c r="H36"/>
    </row>
    <row r="37" spans="8:8" ht="14.4" x14ac:dyDescent="0.3">
      <c r="H37"/>
    </row>
    <row r="38" spans="8:8" ht="14.4" x14ac:dyDescent="0.3">
      <c r="H38"/>
    </row>
  </sheetData>
  <sortState ref="A4:XFD18">
    <sortCondition ref="A4"/>
  </sortState>
  <pageMargins left="0.25" right="0.25" top="0.75" bottom="0.75" header="0.3" footer="0.3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15" sqref="E15"/>
    </sheetView>
  </sheetViews>
  <sheetFormatPr defaultColWidth="11.109375" defaultRowHeight="15.6" x14ac:dyDescent="0.3"/>
  <cols>
    <col min="1" max="1" width="11.109375" style="42"/>
    <col min="2" max="2" width="13.33203125" style="40" customWidth="1"/>
    <col min="3" max="3" width="11.6640625" style="40" customWidth="1"/>
    <col min="4" max="16384" width="11.109375" style="40"/>
  </cols>
  <sheetData>
    <row r="1" spans="1:11" x14ac:dyDescent="0.3">
      <c r="A1" s="42" t="s">
        <v>61</v>
      </c>
      <c r="B1" s="40" t="s">
        <v>62</v>
      </c>
      <c r="D1" s="40" t="s">
        <v>63</v>
      </c>
      <c r="H1" s="40" t="s">
        <v>64</v>
      </c>
      <c r="K1" s="40" t="s">
        <v>65</v>
      </c>
    </row>
    <row r="3" spans="1:11" x14ac:dyDescent="0.3">
      <c r="A3" s="42" t="s">
        <v>58</v>
      </c>
      <c r="B3" s="40" t="s">
        <v>59</v>
      </c>
      <c r="C3" s="40" t="s">
        <v>60</v>
      </c>
    </row>
    <row r="5" spans="1:11" x14ac:dyDescent="0.3">
      <c r="A5" s="42">
        <v>2000</v>
      </c>
      <c r="B5" s="40">
        <v>84222.56</v>
      </c>
      <c r="C5" s="40">
        <v>0.22</v>
      </c>
    </row>
    <row r="6" spans="1:11" x14ac:dyDescent="0.3">
      <c r="A6" s="42">
        <v>2001</v>
      </c>
      <c r="B6" s="40">
        <v>85788.98</v>
      </c>
      <c r="C6" s="40">
        <v>0.22</v>
      </c>
    </row>
    <row r="7" spans="1:11" x14ac:dyDescent="0.3">
      <c r="A7" s="42">
        <v>2002</v>
      </c>
      <c r="B7" s="40">
        <v>91784.49</v>
      </c>
      <c r="C7" s="40">
        <v>0.23</v>
      </c>
    </row>
    <row r="8" spans="1:11" x14ac:dyDescent="0.3">
      <c r="A8" s="42">
        <v>2003</v>
      </c>
      <c r="B8" s="40">
        <v>95141.22</v>
      </c>
      <c r="C8" s="40">
        <v>0.24</v>
      </c>
    </row>
    <row r="9" spans="1:11" x14ac:dyDescent="0.3">
      <c r="A9" s="42">
        <v>2004</v>
      </c>
      <c r="B9" s="40">
        <v>99940.81</v>
      </c>
      <c r="C9" s="40">
        <v>0.25</v>
      </c>
    </row>
    <row r="10" spans="1:11" x14ac:dyDescent="0.3">
      <c r="A10" s="42">
        <v>2005</v>
      </c>
      <c r="B10" s="40">
        <v>131226.82</v>
      </c>
      <c r="C10" s="40">
        <v>0.32</v>
      </c>
    </row>
    <row r="11" spans="1:11" x14ac:dyDescent="0.3">
      <c r="A11" s="42">
        <v>2006</v>
      </c>
      <c r="B11" s="40">
        <v>124808.45</v>
      </c>
      <c r="C11" s="40">
        <v>0.3</v>
      </c>
    </row>
    <row r="12" spans="1:11" x14ac:dyDescent="0.3">
      <c r="A12" s="42">
        <v>2007</v>
      </c>
      <c r="B12" s="40">
        <v>114910.16</v>
      </c>
      <c r="C12" s="40">
        <v>0.27</v>
      </c>
    </row>
    <row r="13" spans="1:11" x14ac:dyDescent="0.3">
      <c r="A13" s="42">
        <v>2008</v>
      </c>
      <c r="B13" s="40">
        <v>127751.13</v>
      </c>
      <c r="C13" s="40">
        <v>0.3</v>
      </c>
    </row>
    <row r="14" spans="1:11" x14ac:dyDescent="0.3">
      <c r="A14" s="42">
        <v>2009</v>
      </c>
      <c r="B14" s="40">
        <v>129249.82</v>
      </c>
      <c r="C14" s="40">
        <v>0.31</v>
      </c>
    </row>
    <row r="15" spans="1:11" x14ac:dyDescent="0.3">
      <c r="A15" s="42">
        <v>2010</v>
      </c>
      <c r="B15" s="40">
        <v>136914.72</v>
      </c>
      <c r="C15" s="40">
        <v>0.32</v>
      </c>
    </row>
    <row r="16" spans="1:11" x14ac:dyDescent="0.3">
      <c r="A16" s="42">
        <v>2011</v>
      </c>
      <c r="B16" s="40">
        <v>133907.87</v>
      </c>
      <c r="C16" s="40">
        <v>0.31</v>
      </c>
    </row>
    <row r="17" spans="1:3" x14ac:dyDescent="0.3">
      <c r="A17" s="42">
        <v>2012</v>
      </c>
      <c r="B17" s="40">
        <v>128709.17</v>
      </c>
      <c r="C17" s="40">
        <v>0.28999999999999998</v>
      </c>
    </row>
    <row r="18" spans="1:3" x14ac:dyDescent="0.3">
      <c r="A18" s="42">
        <v>2013</v>
      </c>
      <c r="B18" s="41">
        <f>(1+Master!L20)*B17</f>
        <v>129426.57821252839</v>
      </c>
      <c r="C18" s="40">
        <v>0.28999999999999998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53" sqref="C53"/>
    </sheetView>
  </sheetViews>
  <sheetFormatPr defaultColWidth="9.109375" defaultRowHeight="10.95" customHeight="1" x14ac:dyDescent="0.2"/>
  <cols>
    <col min="1" max="1" width="26.6640625" style="44" customWidth="1"/>
    <col min="2" max="2" width="24.44140625" style="44" customWidth="1"/>
    <col min="3" max="6" width="14.33203125" style="44" customWidth="1"/>
    <col min="7" max="7" width="19.33203125" style="44" customWidth="1"/>
    <col min="8" max="8" width="18.6640625" style="44" customWidth="1"/>
    <col min="9" max="9" width="23.109375" style="44" customWidth="1"/>
    <col min="10" max="16384" width="9.109375" style="44"/>
  </cols>
  <sheetData>
    <row r="1" spans="1:9" s="43" customFormat="1" ht="10.95" customHeight="1" x14ac:dyDescent="0.2">
      <c r="A1" s="43" t="s">
        <v>156</v>
      </c>
      <c r="B1" s="137">
        <v>2007</v>
      </c>
      <c r="C1" s="137">
        <v>2008</v>
      </c>
      <c r="D1" s="137">
        <v>2009</v>
      </c>
      <c r="E1" s="137">
        <v>2010</v>
      </c>
      <c r="F1" s="137">
        <v>2011</v>
      </c>
    </row>
    <row r="3" spans="1:9" s="43" customFormat="1" ht="10.95" customHeight="1" x14ac:dyDescent="0.2">
      <c r="A3" s="46" t="s">
        <v>123</v>
      </c>
      <c r="B3" s="47"/>
      <c r="C3" s="47"/>
      <c r="D3" s="47"/>
      <c r="E3" s="47"/>
      <c r="F3" s="47"/>
      <c r="H3" s="47"/>
      <c r="I3" s="47"/>
    </row>
    <row r="4" spans="1:9" ht="10.95" customHeight="1" x14ac:dyDescent="0.2">
      <c r="A4" s="48" t="s">
        <v>122</v>
      </c>
      <c r="C4" s="49"/>
      <c r="D4" s="49"/>
      <c r="E4" s="49"/>
      <c r="F4" s="49"/>
      <c r="H4" s="49"/>
      <c r="I4" s="49"/>
    </row>
    <row r="5" spans="1:9" ht="10.95" customHeight="1" x14ac:dyDescent="0.2">
      <c r="A5" s="49"/>
      <c r="C5" s="49"/>
      <c r="D5" s="49"/>
      <c r="E5" s="50"/>
      <c r="F5" s="50"/>
      <c r="H5" s="49"/>
      <c r="I5" s="49"/>
    </row>
    <row r="6" spans="1:9" ht="10.95" customHeight="1" x14ac:dyDescent="0.2">
      <c r="A6" s="51" t="s">
        <v>121</v>
      </c>
      <c r="B6" s="51">
        <v>2007</v>
      </c>
      <c r="C6" s="51">
        <v>2008</v>
      </c>
      <c r="D6" s="51">
        <v>2009</v>
      </c>
      <c r="E6" s="51">
        <v>2010</v>
      </c>
      <c r="F6" s="51">
        <v>2011</v>
      </c>
      <c r="G6" s="51" t="s">
        <v>120</v>
      </c>
      <c r="I6" s="49"/>
    </row>
    <row r="7" spans="1:9" ht="10.95" customHeight="1" x14ac:dyDescent="0.2">
      <c r="A7" s="52" t="s">
        <v>119</v>
      </c>
      <c r="B7" s="53"/>
      <c r="C7" s="53"/>
      <c r="D7" s="53"/>
      <c r="E7" s="53"/>
      <c r="F7" s="53"/>
      <c r="G7" s="54"/>
      <c r="I7" s="49"/>
    </row>
    <row r="8" spans="1:9" ht="10.95" customHeight="1" x14ac:dyDescent="0.2">
      <c r="A8" s="55" t="s">
        <v>77</v>
      </c>
      <c r="B8" s="56"/>
      <c r="C8" s="56"/>
      <c r="D8" s="56"/>
      <c r="E8" s="56">
        <v>472.32</v>
      </c>
      <c r="F8" s="56">
        <v>478.99</v>
      </c>
      <c r="G8" s="57" t="s">
        <v>118</v>
      </c>
      <c r="I8" s="49"/>
    </row>
    <row r="9" spans="1:9" ht="10.95" customHeight="1" x14ac:dyDescent="0.2">
      <c r="A9" s="52" t="s">
        <v>117</v>
      </c>
      <c r="B9" s="53"/>
      <c r="C9" s="53"/>
      <c r="D9" s="53"/>
      <c r="E9" s="53"/>
      <c r="F9" s="53"/>
      <c r="G9" s="54"/>
      <c r="I9" s="49"/>
    </row>
    <row r="10" spans="1:9" ht="10.95" customHeight="1" x14ac:dyDescent="0.2">
      <c r="A10" s="55" t="s">
        <v>116</v>
      </c>
      <c r="B10" s="56">
        <v>291.89999999999998</v>
      </c>
      <c r="C10" s="56">
        <v>336.8</v>
      </c>
      <c r="D10" s="56">
        <v>362.2</v>
      </c>
      <c r="E10" s="56" t="s">
        <v>115</v>
      </c>
      <c r="F10" s="56" t="s">
        <v>115</v>
      </c>
      <c r="G10" s="57" t="s">
        <v>114</v>
      </c>
      <c r="I10" s="49"/>
    </row>
    <row r="11" spans="1:9" ht="10.95" customHeight="1" x14ac:dyDescent="0.2">
      <c r="A11" s="55" t="s">
        <v>113</v>
      </c>
      <c r="B11" s="56">
        <v>1466.86</v>
      </c>
      <c r="C11" s="56">
        <v>1807.57</v>
      </c>
      <c r="D11" s="56">
        <v>1947.65</v>
      </c>
      <c r="E11" s="56">
        <v>2010.61</v>
      </c>
      <c r="F11" s="56">
        <v>2468.0566983900299</v>
      </c>
      <c r="G11" s="57" t="s">
        <v>112</v>
      </c>
      <c r="I11" s="49"/>
    </row>
    <row r="12" spans="1:9" ht="10.95" customHeight="1" x14ac:dyDescent="0.2">
      <c r="A12" s="55" t="s">
        <v>111</v>
      </c>
      <c r="B12" s="56">
        <v>392.6</v>
      </c>
      <c r="C12" s="56">
        <v>609.5</v>
      </c>
      <c r="D12" s="56">
        <v>488.04000000000008</v>
      </c>
      <c r="E12" s="56">
        <v>639.06900328587085</v>
      </c>
      <c r="F12" s="56">
        <v>730.65962519985601</v>
      </c>
      <c r="G12" s="57" t="s">
        <v>110</v>
      </c>
      <c r="I12" s="49"/>
    </row>
    <row r="13" spans="1:9" ht="10.95" customHeight="1" x14ac:dyDescent="0.2">
      <c r="A13" s="55" t="s">
        <v>109</v>
      </c>
      <c r="B13" s="56">
        <v>82.310123442792545</v>
      </c>
      <c r="C13" s="56">
        <v>86.04</v>
      </c>
      <c r="D13" s="56">
        <v>82.508137904816223</v>
      </c>
      <c r="E13" s="56">
        <v>87.650988337074978</v>
      </c>
      <c r="F13" s="56">
        <v>95.1</v>
      </c>
      <c r="G13" s="57" t="s">
        <v>108</v>
      </c>
      <c r="I13" s="49"/>
    </row>
    <row r="14" spans="1:9" ht="10.95" customHeight="1" x14ac:dyDescent="0.2">
      <c r="A14" s="139" t="s">
        <v>71</v>
      </c>
      <c r="B14" s="140">
        <f>SUM(B10:B13)</f>
        <v>2233.6701234427924</v>
      </c>
      <c r="C14" s="140">
        <f t="shared" ref="C14:E14" si="0">SUM(C10:C13)</f>
        <v>2839.91</v>
      </c>
      <c r="D14" s="140">
        <f t="shared" si="0"/>
        <v>2880.3981379048159</v>
      </c>
      <c r="E14" s="140">
        <f t="shared" si="0"/>
        <v>2737.3299916229457</v>
      </c>
      <c r="F14" s="140">
        <f>SUM(F10:F13)</f>
        <v>3293.816323589886</v>
      </c>
      <c r="G14" s="138"/>
      <c r="I14" s="49"/>
    </row>
    <row r="15" spans="1:9" ht="10.95" customHeight="1" x14ac:dyDescent="0.2">
      <c r="A15" s="49"/>
      <c r="B15" s="49"/>
      <c r="C15" s="49"/>
      <c r="D15" s="49"/>
      <c r="E15" s="49"/>
      <c r="F15" s="49"/>
      <c r="H15" s="49"/>
      <c r="I15" s="49"/>
    </row>
    <row r="16" spans="1:9" ht="10.95" customHeight="1" x14ac:dyDescent="0.2">
      <c r="A16" s="48" t="s">
        <v>107</v>
      </c>
      <c r="C16" s="49"/>
      <c r="D16" s="49"/>
      <c r="E16" s="49"/>
      <c r="F16" s="49"/>
      <c r="H16" s="49"/>
      <c r="I16" s="49"/>
    </row>
    <row r="17" spans="1:9" ht="10.95" customHeight="1" x14ac:dyDescent="0.2">
      <c r="A17" s="58" t="s">
        <v>106</v>
      </c>
      <c r="B17" s="49"/>
      <c r="C17" s="49"/>
      <c r="D17" s="49"/>
      <c r="E17" s="49"/>
      <c r="F17" s="49"/>
      <c r="H17" s="49"/>
      <c r="I17" s="49"/>
    </row>
    <row r="18" spans="1:9" ht="10.95" customHeight="1" x14ac:dyDescent="0.2">
      <c r="A18" s="58" t="s">
        <v>105</v>
      </c>
      <c r="B18" s="59"/>
      <c r="C18" s="59"/>
      <c r="D18" s="59"/>
      <c r="E18" s="59"/>
      <c r="F18" s="59"/>
      <c r="H18" s="59"/>
      <c r="I18" s="49"/>
    </row>
    <row r="19" spans="1:9" ht="10.95" customHeight="1" x14ac:dyDescent="0.2">
      <c r="A19" s="58"/>
      <c r="B19" s="59"/>
      <c r="C19" s="59"/>
      <c r="D19" s="59"/>
      <c r="E19" s="59"/>
      <c r="F19" s="59"/>
      <c r="H19" s="59"/>
      <c r="I19" s="49"/>
    </row>
    <row r="20" spans="1:9" ht="10.95" customHeight="1" x14ac:dyDescent="0.2">
      <c r="A20" s="60" t="s">
        <v>104</v>
      </c>
      <c r="B20" s="61"/>
      <c r="C20" s="61"/>
      <c r="D20" s="62"/>
      <c r="E20" s="62"/>
      <c r="F20" s="62"/>
      <c r="H20" s="63"/>
      <c r="I20" s="49"/>
    </row>
    <row r="21" spans="1:9" ht="10.95" customHeight="1" x14ac:dyDescent="0.2">
      <c r="A21" s="60"/>
      <c r="B21" s="61"/>
      <c r="C21" s="61"/>
      <c r="D21" s="62"/>
      <c r="E21" s="62"/>
      <c r="F21" s="62"/>
      <c r="H21" s="63"/>
      <c r="I21" s="49"/>
    </row>
    <row r="22" spans="1:9" ht="10.95" customHeight="1" x14ac:dyDescent="0.2">
      <c r="A22" s="64" t="s">
        <v>103</v>
      </c>
      <c r="B22" s="65"/>
      <c r="C22" s="65"/>
      <c r="D22" s="66"/>
      <c r="E22" s="66"/>
      <c r="F22" s="67"/>
      <c r="H22" s="63"/>
    </row>
    <row r="23" spans="1:9" ht="10.95" customHeight="1" x14ac:dyDescent="0.2">
      <c r="A23" s="64"/>
      <c r="B23" s="68"/>
      <c r="C23" s="68"/>
      <c r="D23" s="68"/>
      <c r="E23" s="68"/>
      <c r="F23" s="68"/>
      <c r="G23" s="152" t="s">
        <v>157</v>
      </c>
      <c r="H23" s="153"/>
    </row>
    <row r="24" spans="1:9" ht="10.95" customHeight="1" x14ac:dyDescent="0.2">
      <c r="A24" s="69"/>
      <c r="B24" s="70">
        <v>2007</v>
      </c>
      <c r="C24" s="70">
        <v>2008</v>
      </c>
      <c r="D24" s="70">
        <v>2009</v>
      </c>
      <c r="E24" s="70">
        <v>2010</v>
      </c>
      <c r="F24" s="70">
        <v>2011</v>
      </c>
      <c r="G24" s="71" t="s">
        <v>102</v>
      </c>
      <c r="H24" s="72" t="s">
        <v>101</v>
      </c>
    </row>
    <row r="25" spans="1:9" ht="10.95" customHeight="1" x14ac:dyDescent="0.2">
      <c r="A25" s="69"/>
      <c r="B25" s="154" t="s">
        <v>100</v>
      </c>
      <c r="C25" s="154"/>
      <c r="D25" s="154"/>
      <c r="E25" s="154"/>
      <c r="F25" s="155"/>
      <c r="G25" s="73" t="s">
        <v>99</v>
      </c>
      <c r="H25" s="74" t="s">
        <v>99</v>
      </c>
    </row>
    <row r="26" spans="1:9" ht="10.95" customHeight="1" x14ac:dyDescent="0.2">
      <c r="A26" s="62"/>
      <c r="B26" s="75"/>
      <c r="C26" s="75"/>
      <c r="D26" s="75"/>
      <c r="E26" s="75"/>
      <c r="F26" s="75"/>
      <c r="G26" s="76"/>
      <c r="H26" s="63"/>
    </row>
    <row r="27" spans="1:9" ht="10.95" customHeight="1" x14ac:dyDescent="0.2">
      <c r="A27" s="60" t="s">
        <v>98</v>
      </c>
      <c r="B27" s="77"/>
      <c r="C27" s="77"/>
      <c r="D27" s="77"/>
      <c r="E27" s="77"/>
      <c r="F27" s="77"/>
      <c r="G27" s="78"/>
      <c r="H27" s="63"/>
    </row>
    <row r="28" spans="1:9" ht="10.95" customHeight="1" x14ac:dyDescent="0.2">
      <c r="A28" s="49" t="s">
        <v>97</v>
      </c>
      <c r="B28" s="79">
        <v>178.88</v>
      </c>
      <c r="C28" s="79">
        <v>249.21</v>
      </c>
      <c r="D28" s="79">
        <v>214.7</v>
      </c>
      <c r="E28" s="79">
        <v>227.56</v>
      </c>
      <c r="F28" s="79">
        <v>250.46</v>
      </c>
      <c r="G28" s="80">
        <v>30.727461470893552</v>
      </c>
      <c r="H28" s="81">
        <v>0.12464771443440541</v>
      </c>
    </row>
    <row r="29" spans="1:9" ht="10.95" customHeight="1" x14ac:dyDescent="0.2">
      <c r="A29" s="49" t="s">
        <v>96</v>
      </c>
      <c r="B29" s="79">
        <v>16.12</v>
      </c>
      <c r="C29" s="79">
        <v>22.01</v>
      </c>
      <c r="D29" s="79">
        <v>18.440000000000001</v>
      </c>
      <c r="E29" s="79">
        <v>18.760000000000002</v>
      </c>
      <c r="F29" s="79">
        <v>24.21</v>
      </c>
      <c r="G29" s="80">
        <v>30.028913672036346</v>
      </c>
      <c r="H29" s="81">
        <v>0.11487124788323273</v>
      </c>
    </row>
    <row r="30" spans="1:9" ht="10.95" customHeight="1" x14ac:dyDescent="0.2">
      <c r="A30" s="49" t="s">
        <v>95</v>
      </c>
      <c r="B30" s="79">
        <v>103.47</v>
      </c>
      <c r="C30" s="79">
        <v>106.94</v>
      </c>
      <c r="D30" s="79">
        <v>116.92</v>
      </c>
      <c r="E30" s="79">
        <v>114.34</v>
      </c>
      <c r="F30" s="79">
        <v>139.72999999999999</v>
      </c>
      <c r="G30" s="80">
        <v>23.724325484863666</v>
      </c>
      <c r="H30" s="81">
        <v>0.10773332190181502</v>
      </c>
    </row>
    <row r="31" spans="1:9" ht="10.95" customHeight="1" x14ac:dyDescent="0.2">
      <c r="A31" s="49" t="s">
        <v>94</v>
      </c>
      <c r="B31" s="79">
        <v>48.25</v>
      </c>
      <c r="C31" s="79">
        <v>48.41</v>
      </c>
      <c r="D31" s="79">
        <v>34.42</v>
      </c>
      <c r="E31" s="79">
        <v>28.75</v>
      </c>
      <c r="F31" s="79">
        <v>25.573238837931001</v>
      </c>
      <c r="G31" s="80">
        <v>78.407402569870371</v>
      </c>
      <c r="H31" s="81">
        <v>0.21279297838765621</v>
      </c>
    </row>
    <row r="32" spans="1:9" ht="10.95" customHeight="1" x14ac:dyDescent="0.2">
      <c r="A32" s="49" t="s">
        <v>93</v>
      </c>
      <c r="B32" s="79">
        <v>110.94</v>
      </c>
      <c r="C32" s="79">
        <v>137.82</v>
      </c>
      <c r="D32" s="79">
        <v>123.9</v>
      </c>
      <c r="E32" s="79">
        <v>144.82</v>
      </c>
      <c r="F32" s="79">
        <v>205.81</v>
      </c>
      <c r="G32" s="80">
        <v>91.254069287206647</v>
      </c>
      <c r="H32" s="81">
        <v>8.6931483368065512E-2</v>
      </c>
    </row>
    <row r="33" spans="1:8" ht="10.95" customHeight="1" x14ac:dyDescent="0.2">
      <c r="A33" s="49" t="s">
        <v>92</v>
      </c>
      <c r="B33" s="79">
        <v>362.85</v>
      </c>
      <c r="C33" s="79">
        <v>372.34</v>
      </c>
      <c r="D33" s="79">
        <v>374.65</v>
      </c>
      <c r="E33" s="79">
        <v>377.75</v>
      </c>
      <c r="F33" s="79">
        <v>416.91</v>
      </c>
      <c r="G33" s="80">
        <v>21.616176153126574</v>
      </c>
      <c r="H33" s="81">
        <v>8.4056814834032809E-2</v>
      </c>
    </row>
    <row r="34" spans="1:8" ht="10.95" customHeight="1" x14ac:dyDescent="0.2">
      <c r="A34" s="49" t="s">
        <v>91</v>
      </c>
      <c r="B34" s="79">
        <v>67.23</v>
      </c>
      <c r="C34" s="79">
        <v>91.85</v>
      </c>
      <c r="D34" s="79">
        <v>75.400000000000006</v>
      </c>
      <c r="E34" s="79">
        <v>73.709999999999994</v>
      </c>
      <c r="F34" s="79">
        <v>86.02</v>
      </c>
      <c r="G34" s="80">
        <v>24.912810974192048</v>
      </c>
      <c r="H34" s="81">
        <v>9.1310706705806488E-2</v>
      </c>
    </row>
    <row r="35" spans="1:8" ht="10.95" customHeight="1" x14ac:dyDescent="0.2">
      <c r="A35" s="49" t="s">
        <v>90</v>
      </c>
      <c r="B35" s="79">
        <v>54.14</v>
      </c>
      <c r="C35" s="79">
        <v>67.599999999999994</v>
      </c>
      <c r="D35" s="79">
        <v>71.239999999999995</v>
      </c>
      <c r="E35" s="79">
        <v>58.6</v>
      </c>
      <c r="F35" s="79">
        <v>62.77</v>
      </c>
      <c r="G35" s="80">
        <v>30.269236896606657</v>
      </c>
      <c r="H35" s="81">
        <v>0.12879976755715042</v>
      </c>
    </row>
    <row r="36" spans="1:8" ht="10.95" customHeight="1" x14ac:dyDescent="0.2">
      <c r="A36" s="49" t="s">
        <v>89</v>
      </c>
      <c r="B36" s="79">
        <v>602.33000000000004</v>
      </c>
      <c r="C36" s="79">
        <v>780.36</v>
      </c>
      <c r="D36" s="79">
        <v>707.17</v>
      </c>
      <c r="E36" s="79">
        <v>967.42</v>
      </c>
      <c r="F36" s="79">
        <v>1273.01</v>
      </c>
      <c r="G36" s="80">
        <v>96.323673812460228</v>
      </c>
      <c r="H36" s="81">
        <v>0.16483404074592969</v>
      </c>
    </row>
    <row r="37" spans="1:8" ht="10.95" customHeight="1" x14ac:dyDescent="0.2">
      <c r="A37" s="49" t="s">
        <v>88</v>
      </c>
      <c r="B37" s="79">
        <f>SUM(B28:B36)</f>
        <v>1544.21</v>
      </c>
      <c r="C37" s="79">
        <f>SUM(C28:C36)</f>
        <v>1876.54</v>
      </c>
      <c r="D37" s="79">
        <f>SUM(D28:D36)</f>
        <v>1736.8399999999997</v>
      </c>
      <c r="E37" s="79">
        <f>SUM(E28:E36)</f>
        <v>2011.71</v>
      </c>
      <c r="F37" s="79">
        <f>SUM(F28:F36)</f>
        <v>2484.4932388379311</v>
      </c>
      <c r="G37" s="80"/>
      <c r="H37" s="81"/>
    </row>
    <row r="38" spans="1:8" ht="10.95" customHeight="1" x14ac:dyDescent="0.2">
      <c r="A38" s="82" t="s">
        <v>87</v>
      </c>
      <c r="B38" s="79"/>
      <c r="C38" s="79"/>
      <c r="D38" s="79"/>
      <c r="E38" s="79"/>
      <c r="F38" s="79"/>
      <c r="G38" s="45"/>
      <c r="H38" s="63"/>
    </row>
    <row r="39" spans="1:8" ht="10.95" customHeight="1" x14ac:dyDescent="0.2">
      <c r="A39" s="49" t="s">
        <v>86</v>
      </c>
      <c r="B39" s="79" t="s">
        <v>72</v>
      </c>
      <c r="C39" s="79" t="s">
        <v>72</v>
      </c>
      <c r="D39" s="79" t="s">
        <v>72</v>
      </c>
      <c r="E39" s="79">
        <v>40.49</v>
      </c>
      <c r="F39" s="79">
        <v>48.38</v>
      </c>
      <c r="G39" s="80">
        <v>14.117403885903265</v>
      </c>
      <c r="H39" s="81">
        <v>9.2851508597113136E-2</v>
      </c>
    </row>
    <row r="40" spans="1:8" ht="10.95" customHeight="1" x14ac:dyDescent="0.2">
      <c r="A40" s="49" t="s">
        <v>85</v>
      </c>
      <c r="B40" s="79">
        <v>514</v>
      </c>
      <c r="C40" s="79">
        <v>435.2</v>
      </c>
      <c r="D40" s="79">
        <v>411.35</v>
      </c>
      <c r="E40" s="79">
        <v>380.91</v>
      </c>
      <c r="F40" s="79">
        <v>381.24</v>
      </c>
      <c r="G40" s="80">
        <v>87.0422830762774</v>
      </c>
      <c r="H40" s="81">
        <v>9.3417364201282022E-2</v>
      </c>
    </row>
    <row r="41" spans="1:8" ht="10.95" customHeight="1" x14ac:dyDescent="0.2">
      <c r="A41" s="49" t="s">
        <v>84</v>
      </c>
      <c r="B41" s="79">
        <v>34.880000000000003</v>
      </c>
      <c r="C41" s="79">
        <v>37.44</v>
      </c>
      <c r="D41" s="79">
        <v>45.5</v>
      </c>
      <c r="E41" s="79">
        <v>51.17</v>
      </c>
      <c r="F41" s="79">
        <v>37.61</v>
      </c>
      <c r="G41" s="80">
        <v>48.019143844722144</v>
      </c>
      <c r="H41" s="81">
        <v>0.15766836946549331</v>
      </c>
    </row>
    <row r="42" spans="1:8" ht="10.95" customHeight="1" x14ac:dyDescent="0.2">
      <c r="A42" s="49" t="s">
        <v>83</v>
      </c>
      <c r="B42" s="79">
        <v>110.07</v>
      </c>
      <c r="C42" s="79">
        <v>283.18</v>
      </c>
      <c r="D42" s="79">
        <v>221.12</v>
      </c>
      <c r="E42" s="79">
        <v>210.56</v>
      </c>
      <c r="F42" s="79">
        <v>144.49622478893775</v>
      </c>
      <c r="G42" s="80">
        <v>99.949850753386855</v>
      </c>
      <c r="H42" s="83" t="s">
        <v>72</v>
      </c>
    </row>
    <row r="43" spans="1:8" ht="10.95" customHeight="1" x14ac:dyDescent="0.2">
      <c r="A43" s="49" t="s">
        <v>82</v>
      </c>
      <c r="B43" s="79">
        <v>15.79</v>
      </c>
      <c r="C43" s="79">
        <v>21.85</v>
      </c>
      <c r="D43" s="79">
        <v>21</v>
      </c>
      <c r="E43" s="79">
        <v>15.6</v>
      </c>
      <c r="F43" s="79">
        <v>19.2</v>
      </c>
      <c r="G43" s="80">
        <v>6.25</v>
      </c>
      <c r="H43" s="81">
        <v>7.0150567963843224E-2</v>
      </c>
    </row>
    <row r="44" spans="1:8" ht="10.95" customHeight="1" x14ac:dyDescent="0.2">
      <c r="A44" s="49" t="s">
        <v>81</v>
      </c>
      <c r="B44" s="79">
        <v>17.97</v>
      </c>
      <c r="C44" s="79">
        <v>23.69</v>
      </c>
      <c r="D44" s="79">
        <v>26.24</v>
      </c>
      <c r="E44" s="79">
        <v>26.63</v>
      </c>
      <c r="F44" s="79">
        <v>31.06</v>
      </c>
      <c r="G44" s="80">
        <v>81.809401159047013</v>
      </c>
      <c r="H44" s="83" t="s">
        <v>72</v>
      </c>
    </row>
    <row r="45" spans="1:8" ht="10.95" customHeight="1" x14ac:dyDescent="0.2">
      <c r="A45" s="49" t="s">
        <v>80</v>
      </c>
      <c r="B45" s="79">
        <v>47.6</v>
      </c>
      <c r="C45" s="79">
        <v>47.84</v>
      </c>
      <c r="D45" s="79">
        <v>36.21</v>
      </c>
      <c r="E45" s="79">
        <v>36.74</v>
      </c>
      <c r="F45" s="79">
        <v>51.68</v>
      </c>
      <c r="G45" s="80">
        <v>39.763931888544896</v>
      </c>
      <c r="H45" s="81">
        <v>0.12513968644856815</v>
      </c>
    </row>
    <row r="46" spans="1:8" ht="10.95" customHeight="1" x14ac:dyDescent="0.2">
      <c r="A46" s="49" t="s">
        <v>79</v>
      </c>
      <c r="B46" s="79" t="s">
        <v>72</v>
      </c>
      <c r="C46" s="79" t="s">
        <v>72</v>
      </c>
      <c r="D46" s="79">
        <v>13.69</v>
      </c>
      <c r="E46" s="79">
        <v>13.8</v>
      </c>
      <c r="F46" s="79">
        <v>19.96</v>
      </c>
      <c r="G46" s="80">
        <v>66.633266533066134</v>
      </c>
      <c r="H46" s="81">
        <v>0.24750388119813704</v>
      </c>
    </row>
    <row r="47" spans="1:8" ht="10.95" customHeight="1" x14ac:dyDescent="0.2">
      <c r="A47" s="49" t="s">
        <v>78</v>
      </c>
      <c r="B47" s="79" t="s">
        <v>72</v>
      </c>
      <c r="C47" s="79">
        <v>122.86</v>
      </c>
      <c r="D47" s="79">
        <v>152.54</v>
      </c>
      <c r="E47" s="79">
        <v>114.26</v>
      </c>
      <c r="F47" s="79">
        <v>163.85</v>
      </c>
      <c r="G47" s="80">
        <v>17.430576747024716</v>
      </c>
      <c r="H47" s="81">
        <v>8.7476973228389085E-2</v>
      </c>
    </row>
    <row r="48" spans="1:8" ht="10.95" customHeight="1" x14ac:dyDescent="0.2">
      <c r="A48" s="49" t="s">
        <v>77</v>
      </c>
      <c r="B48" s="79" t="s">
        <v>72</v>
      </c>
      <c r="C48" s="79" t="s">
        <v>72</v>
      </c>
      <c r="D48" s="79" t="s">
        <v>72</v>
      </c>
      <c r="E48" s="79">
        <v>472.39</v>
      </c>
      <c r="F48" s="79">
        <v>478.99</v>
      </c>
      <c r="G48" s="80">
        <v>50.188939226288653</v>
      </c>
      <c r="H48" s="81">
        <v>2.9198191771265737E-2</v>
      </c>
    </row>
    <row r="49" spans="1:16" ht="10.95" customHeight="1" x14ac:dyDescent="0.2">
      <c r="A49" s="49" t="s">
        <v>76</v>
      </c>
      <c r="B49" s="79">
        <v>1550.65</v>
      </c>
      <c r="C49" s="79">
        <v>4978.83</v>
      </c>
      <c r="D49" s="79">
        <v>3133.74</v>
      </c>
      <c r="E49" s="79">
        <v>3479.64</v>
      </c>
      <c r="F49" s="79">
        <v>5094.8999999999996</v>
      </c>
      <c r="G49" s="80">
        <v>93.687609177805271</v>
      </c>
      <c r="H49" s="83" t="s">
        <v>72</v>
      </c>
    </row>
    <row r="50" spans="1:16" ht="10.95" customHeight="1" x14ac:dyDescent="0.2">
      <c r="A50" s="49" t="s">
        <v>75</v>
      </c>
      <c r="B50" s="79">
        <v>66.91</v>
      </c>
      <c r="C50" s="79">
        <v>178.45</v>
      </c>
      <c r="D50" s="79">
        <v>40.21</v>
      </c>
      <c r="E50" s="79">
        <v>9.6199999999999992</v>
      </c>
      <c r="F50" s="79">
        <v>31.49</v>
      </c>
      <c r="G50" s="80">
        <v>44.903143855192127</v>
      </c>
      <c r="H50" s="81">
        <v>9.2680397139475023E-3</v>
      </c>
    </row>
    <row r="51" spans="1:16" ht="10.95" customHeight="1" x14ac:dyDescent="0.2">
      <c r="A51" s="49" t="s">
        <v>74</v>
      </c>
      <c r="B51" s="79">
        <v>2425.59</v>
      </c>
      <c r="C51" s="79">
        <v>1265.75</v>
      </c>
      <c r="D51" s="79">
        <v>833.67</v>
      </c>
      <c r="E51" s="79">
        <v>412.07</v>
      </c>
      <c r="F51" s="79">
        <v>737.35699999999997</v>
      </c>
      <c r="G51" s="80">
        <v>92.762664489521356</v>
      </c>
      <c r="H51" s="81">
        <v>0.2177250386968736</v>
      </c>
    </row>
    <row r="52" spans="1:16" ht="10.95" customHeight="1" x14ac:dyDescent="0.2">
      <c r="A52" s="49" t="s">
        <v>73</v>
      </c>
      <c r="B52" s="79">
        <f>+SUM(B42,B49,B51)</f>
        <v>4086.3100000000004</v>
      </c>
      <c r="C52" s="79">
        <f>+SUM(C42,C49,C51)</f>
        <v>6527.76</v>
      </c>
      <c r="D52" s="79">
        <f>+SUM(D42,D49,D51)</f>
        <v>4188.53</v>
      </c>
      <c r="E52" s="79">
        <f>+SUM(E42,E49,E51)</f>
        <v>4102.2699999999995</v>
      </c>
      <c r="F52" s="79">
        <f>+SUM(F42,F49,F51)</f>
        <v>5976.7532247889376</v>
      </c>
      <c r="G52" s="80"/>
      <c r="H52" s="81"/>
    </row>
    <row r="53" spans="1:16" ht="10.95" customHeight="1" x14ac:dyDescent="0.2">
      <c r="A53" s="49" t="s">
        <v>162</v>
      </c>
      <c r="B53" s="79">
        <f>SUM(B39,B40,B41,B43,B44,B45,B46,B47,B50)</f>
        <v>697.15</v>
      </c>
      <c r="C53" s="79">
        <f t="shared" ref="C53:F53" si="1">SUM(C39,C40,C41,C43,C44,C45,C46,C47,C50)</f>
        <v>867.33000000000015</v>
      </c>
      <c r="D53" s="79">
        <f t="shared" si="1"/>
        <v>746.74000000000012</v>
      </c>
      <c r="E53" s="79">
        <f t="shared" si="1"/>
        <v>689.22</v>
      </c>
      <c r="F53" s="79">
        <f t="shared" si="1"/>
        <v>784.47</v>
      </c>
      <c r="G53" s="80"/>
      <c r="H53" s="63"/>
    </row>
    <row r="54" spans="1:16" ht="10.95" customHeight="1" x14ac:dyDescent="0.2">
      <c r="A54" s="141" t="s">
        <v>160</v>
      </c>
      <c r="B54" s="142">
        <f>SUM(B37,B52,B53)</f>
        <v>6327.67</v>
      </c>
      <c r="C54" s="142">
        <f t="shared" ref="C54:F54" si="2">SUM(C37,C52,C53)</f>
        <v>9271.6299999999992</v>
      </c>
      <c r="D54" s="142">
        <f t="shared" si="2"/>
        <v>6672.1099999999988</v>
      </c>
      <c r="E54" s="142">
        <f t="shared" si="2"/>
        <v>6803.2</v>
      </c>
      <c r="F54" s="142">
        <f t="shared" si="2"/>
        <v>9245.7164636268681</v>
      </c>
      <c r="G54" s="84">
        <v>82.100134366101685</v>
      </c>
      <c r="H54" s="85" t="s">
        <v>72</v>
      </c>
    </row>
    <row r="55" spans="1:16" ht="10.95" customHeight="1" x14ac:dyDescent="0.2">
      <c r="A55" s="49"/>
    </row>
    <row r="57" spans="1:16" ht="10.95" customHeight="1" x14ac:dyDescent="0.2">
      <c r="A57" s="86" t="s">
        <v>124</v>
      </c>
      <c r="B57" s="87"/>
      <c r="C57" s="88"/>
      <c r="D57" s="88"/>
      <c r="E57" s="88"/>
      <c r="F57" s="88"/>
      <c r="G57" s="88"/>
      <c r="H57" s="89"/>
      <c r="I57" s="89"/>
      <c r="J57" s="89"/>
      <c r="K57" s="89"/>
      <c r="L57" s="89"/>
      <c r="M57" s="89"/>
      <c r="N57" s="89"/>
      <c r="O57" s="90"/>
      <c r="P57" s="90"/>
    </row>
    <row r="58" spans="1:16" ht="10.95" customHeight="1" x14ac:dyDescent="0.2">
      <c r="A58" s="90"/>
      <c r="B58" s="87"/>
      <c r="C58" s="88"/>
      <c r="D58" s="88"/>
      <c r="E58" s="88"/>
      <c r="F58" s="88"/>
      <c r="G58" s="88"/>
      <c r="H58" s="89"/>
      <c r="I58" s="89"/>
      <c r="J58" s="89"/>
      <c r="K58" s="89"/>
      <c r="L58" s="89"/>
      <c r="M58" s="89"/>
      <c r="N58" s="89"/>
      <c r="O58" s="90"/>
      <c r="P58" s="90"/>
    </row>
    <row r="59" spans="1:16" ht="10.95" customHeight="1" x14ac:dyDescent="0.2">
      <c r="A59" s="87"/>
      <c r="B59" s="90"/>
      <c r="C59" s="87"/>
      <c r="D59" s="87"/>
      <c r="E59" s="87"/>
      <c r="F59" s="87"/>
      <c r="G59" s="87"/>
      <c r="H59" s="89"/>
      <c r="I59" s="89"/>
      <c r="J59" s="89"/>
      <c r="K59" s="89"/>
      <c r="L59" s="89"/>
      <c r="M59" s="89"/>
      <c r="N59" s="89"/>
      <c r="O59" s="87"/>
      <c r="P59" s="89" t="s">
        <v>125</v>
      </c>
    </row>
    <row r="60" spans="1:16" ht="10.95" customHeight="1" x14ac:dyDescent="0.2">
      <c r="A60" s="91" t="s">
        <v>126</v>
      </c>
      <c r="B60" s="150" t="s">
        <v>127</v>
      </c>
      <c r="C60" s="150"/>
      <c r="D60" s="150"/>
      <c r="E60" s="150"/>
      <c r="F60" s="150"/>
      <c r="G60" s="150"/>
      <c r="H60" s="150"/>
      <c r="I60" s="92"/>
      <c r="J60" s="150" t="s">
        <v>128</v>
      </c>
      <c r="K60" s="151"/>
      <c r="L60" s="151"/>
      <c r="M60" s="151"/>
      <c r="N60" s="151"/>
      <c r="O60" s="151"/>
      <c r="P60" s="151"/>
    </row>
    <row r="61" spans="1:16" ht="10.95" customHeight="1" x14ac:dyDescent="0.2">
      <c r="A61" s="93"/>
      <c r="B61" s="94">
        <v>2007</v>
      </c>
      <c r="C61" s="94">
        <v>2008</v>
      </c>
      <c r="D61" s="94">
        <v>2009</v>
      </c>
      <c r="E61" s="94">
        <v>2010</v>
      </c>
      <c r="F61" s="94">
        <v>2011</v>
      </c>
      <c r="I61" s="95"/>
      <c r="J61" s="96" t="s">
        <v>129</v>
      </c>
      <c r="K61" s="96" t="s">
        <v>130</v>
      </c>
      <c r="L61" s="96">
        <v>2007</v>
      </c>
      <c r="M61" s="96">
        <v>2008</v>
      </c>
      <c r="N61" s="96">
        <v>2009</v>
      </c>
      <c r="O61" s="96">
        <v>2010</v>
      </c>
      <c r="P61" s="96">
        <v>2011</v>
      </c>
    </row>
    <row r="62" spans="1:16" ht="10.95" customHeight="1" x14ac:dyDescent="0.2">
      <c r="A62" s="90"/>
      <c r="B62" s="97"/>
      <c r="C62" s="97"/>
      <c r="D62" s="97"/>
      <c r="E62" s="98"/>
      <c r="F62" s="97"/>
      <c r="I62" s="99"/>
      <c r="J62" s="100"/>
      <c r="K62" s="100"/>
      <c r="L62" s="100"/>
      <c r="M62" s="100"/>
      <c r="N62" s="89"/>
      <c r="O62" s="90"/>
      <c r="P62" s="90"/>
    </row>
    <row r="63" spans="1:16" ht="10.95" customHeight="1" x14ac:dyDescent="0.2">
      <c r="A63" s="101" t="s">
        <v>131</v>
      </c>
      <c r="B63" s="102">
        <v>104206.07</v>
      </c>
      <c r="C63" s="102">
        <v>121954.33000000002</v>
      </c>
      <c r="D63" s="102">
        <v>119787.36</v>
      </c>
      <c r="E63" s="102">
        <v>128465.92</v>
      </c>
      <c r="F63" s="102">
        <v>134038.28600000002</v>
      </c>
      <c r="I63" s="102"/>
      <c r="J63" s="103">
        <v>31.622872505790809</v>
      </c>
      <c r="K63" s="103">
        <v>43.778846543816861</v>
      </c>
      <c r="L63" s="103">
        <v>23.917335394970177</v>
      </c>
      <c r="M63" s="103">
        <v>44.249438964610782</v>
      </c>
      <c r="N63" s="103">
        <v>35.881477623366301</v>
      </c>
      <c r="O63" s="103">
        <v>25.287101471914699</v>
      </c>
      <c r="P63" s="103">
        <v>27.04704236555903</v>
      </c>
    </row>
    <row r="64" spans="1:16" ht="10.95" customHeight="1" x14ac:dyDescent="0.2">
      <c r="A64" s="104" t="s">
        <v>132</v>
      </c>
      <c r="B64" s="102">
        <v>73378.51999999999</v>
      </c>
      <c r="C64" s="102">
        <v>86805.19</v>
      </c>
      <c r="D64" s="102">
        <v>83674.8</v>
      </c>
      <c r="E64" s="102">
        <v>90957.71</v>
      </c>
      <c r="F64" s="102">
        <v>94068.26499999997</v>
      </c>
      <c r="I64" s="102"/>
      <c r="J64" s="103">
        <v>21.973723971635916</v>
      </c>
      <c r="K64" s="103">
        <v>29.341240133125329</v>
      </c>
      <c r="L64" s="103">
        <v>16.841808482236466</v>
      </c>
      <c r="M64" s="103">
        <v>31.496060506555541</v>
      </c>
      <c r="N64" s="103">
        <v>25.064209310895997</v>
      </c>
      <c r="O64" s="103">
        <v>17.904023436122127</v>
      </c>
      <c r="P64" s="103">
        <v>18.981653859029741</v>
      </c>
    </row>
    <row r="65" spans="1:16" ht="10.95" customHeight="1" x14ac:dyDescent="0.2">
      <c r="A65" s="105" t="s">
        <v>133</v>
      </c>
      <c r="B65" s="102">
        <v>2575.1939938220976</v>
      </c>
      <c r="C65" s="102">
        <v>2914.8430501331673</v>
      </c>
      <c r="D65" s="102">
        <v>2722.8038967747334</v>
      </c>
      <c r="E65" s="102">
        <v>1399.8499999999995</v>
      </c>
      <c r="F65" s="102">
        <v>1390.982117</v>
      </c>
      <c r="I65" s="102"/>
      <c r="J65" s="103">
        <v>0</v>
      </c>
      <c r="K65" s="103">
        <v>0</v>
      </c>
      <c r="L65" s="103">
        <v>0.59105749269074126</v>
      </c>
      <c r="M65" s="103">
        <v>1.0576104156226966</v>
      </c>
      <c r="N65" s="103">
        <v>0.81559713057318539</v>
      </c>
      <c r="O65" s="103">
        <v>0.27554505502673221</v>
      </c>
      <c r="P65" s="103">
        <v>0.28068064260560588</v>
      </c>
    </row>
    <row r="66" spans="1:16" ht="10.95" customHeight="1" x14ac:dyDescent="0.2">
      <c r="A66" s="106" t="s">
        <v>134</v>
      </c>
      <c r="B66" s="102">
        <v>2183.1799999999998</v>
      </c>
      <c r="C66" s="102">
        <v>2516.5899999999997</v>
      </c>
      <c r="D66" s="102">
        <v>2130.09</v>
      </c>
      <c r="E66" s="102">
        <v>1568.3500000000001</v>
      </c>
      <c r="F66" s="102">
        <v>1472.8635399999996</v>
      </c>
      <c r="I66" s="102"/>
      <c r="J66" s="107">
        <v>0.56851871603368354</v>
      </c>
      <c r="K66" s="107">
        <v>0.9812853467397874</v>
      </c>
      <c r="L66" s="107">
        <v>0.50108259804434607</v>
      </c>
      <c r="M66" s="107">
        <v>0.91310981417346826</v>
      </c>
      <c r="N66" s="107">
        <v>0.63805377020377041</v>
      </c>
      <c r="O66" s="107">
        <v>0.30871242422486384</v>
      </c>
      <c r="P66" s="107">
        <v>0.29720316302065541</v>
      </c>
    </row>
    <row r="67" spans="1:16" ht="10.95" customHeight="1" x14ac:dyDescent="0.2">
      <c r="A67" s="106" t="s">
        <v>135</v>
      </c>
      <c r="B67" s="102">
        <v>4290.3499999999995</v>
      </c>
      <c r="C67" s="102">
        <v>8319.760000000002</v>
      </c>
      <c r="D67" s="102">
        <v>10568.22</v>
      </c>
      <c r="E67" s="102">
        <v>10964.919999999996</v>
      </c>
      <c r="F67" s="102">
        <v>13298.5815</v>
      </c>
      <c r="I67" s="102"/>
      <c r="J67" s="107">
        <v>2.1921355984966069</v>
      </c>
      <c r="K67" s="107">
        <v>4.684804327476221</v>
      </c>
      <c r="L67" s="107">
        <v>0.9847194113722002</v>
      </c>
      <c r="M67" s="107">
        <v>3.018709645817498</v>
      </c>
      <c r="N67" s="107">
        <v>3.1656374215844827</v>
      </c>
      <c r="O67" s="107">
        <v>2.1583237380888782</v>
      </c>
      <c r="P67" s="107">
        <v>2.683466850899149</v>
      </c>
    </row>
    <row r="68" spans="1:16" ht="10.95" customHeight="1" x14ac:dyDescent="0.2">
      <c r="A68" s="108" t="s">
        <v>136</v>
      </c>
      <c r="B68" s="102">
        <v>8982.590000000002</v>
      </c>
      <c r="C68" s="102">
        <v>8834.0000000000018</v>
      </c>
      <c r="D68" s="102">
        <v>1708.7099999999998</v>
      </c>
      <c r="E68" s="102">
        <v>3666.1600000000008</v>
      </c>
      <c r="F68" s="102">
        <v>4138.0450700000001</v>
      </c>
      <c r="I68" s="102"/>
      <c r="J68" s="103">
        <v>1.4696661273722393</v>
      </c>
      <c r="K68" s="103">
        <v>1.5669474619967387</v>
      </c>
      <c r="L68" s="103">
        <v>2.0616804543680156</v>
      </c>
      <c r="M68" s="103">
        <v>3.2052945050280028</v>
      </c>
      <c r="N68" s="103">
        <v>0.5118322970789424</v>
      </c>
      <c r="O68" s="103">
        <v>0.7216432181568061</v>
      </c>
      <c r="P68" s="103">
        <v>0.83499933980715524</v>
      </c>
    </row>
    <row r="69" spans="1:16" ht="10.95" customHeight="1" x14ac:dyDescent="0.2">
      <c r="A69" s="108" t="s">
        <v>137</v>
      </c>
      <c r="B69" s="102">
        <v>4649.5600000000004</v>
      </c>
      <c r="C69" s="102">
        <v>5399.23</v>
      </c>
      <c r="D69" s="102">
        <v>5294.76</v>
      </c>
      <c r="E69" s="102">
        <v>5976.4400000000005</v>
      </c>
      <c r="F69" s="102">
        <v>6156.1699000000017</v>
      </c>
      <c r="I69" s="102"/>
      <c r="J69" s="103">
        <v>1.5902948042811211</v>
      </c>
      <c r="K69" s="103">
        <v>2.5002417818393843</v>
      </c>
      <c r="L69" s="103">
        <v>1.067165146512459</v>
      </c>
      <c r="M69" s="103">
        <v>1.9590357992282474</v>
      </c>
      <c r="N69" s="103">
        <v>1.5860088448488634</v>
      </c>
      <c r="O69" s="103">
        <v>1.1763963915162081</v>
      </c>
      <c r="P69" s="103">
        <v>1.2422285681486507</v>
      </c>
    </row>
    <row r="70" spans="1:16" ht="10.95" customHeight="1" x14ac:dyDescent="0.2">
      <c r="A70" s="108" t="s">
        <v>138</v>
      </c>
      <c r="B70" s="102">
        <v>2195.86</v>
      </c>
      <c r="C70" s="102">
        <v>2832.8399999999997</v>
      </c>
      <c r="D70" s="102">
        <v>3495.8399999999997</v>
      </c>
      <c r="E70" s="102">
        <v>3925.58</v>
      </c>
      <c r="F70" s="102">
        <v>4746.8404399999981</v>
      </c>
      <c r="I70" s="102"/>
      <c r="J70" s="103">
        <v>0.444480722365374</v>
      </c>
      <c r="K70" s="103">
        <v>1.1953012716657463</v>
      </c>
      <c r="L70" s="103">
        <v>0.50399290655908258</v>
      </c>
      <c r="M70" s="103">
        <v>1.0278567450332265</v>
      </c>
      <c r="N70" s="103">
        <v>1.0471547643663641</v>
      </c>
      <c r="O70" s="103">
        <v>0.77270718799288485</v>
      </c>
      <c r="P70" s="103">
        <v>0.95784568957580374</v>
      </c>
    </row>
    <row r="71" spans="1:16" ht="10.95" customHeight="1" x14ac:dyDescent="0.2">
      <c r="A71" s="109" t="s">
        <v>139</v>
      </c>
      <c r="B71" s="102">
        <v>30827.550000000003</v>
      </c>
      <c r="C71" s="102">
        <v>35149.159999999996</v>
      </c>
      <c r="D71" s="102">
        <v>36112.559999999998</v>
      </c>
      <c r="E71" s="102">
        <v>37508.17</v>
      </c>
      <c r="F71" s="102">
        <v>39969.976000000002</v>
      </c>
      <c r="I71" s="102">
        <v>0</v>
      </c>
      <c r="J71" s="103">
        <v>9.649159549717929</v>
      </c>
      <c r="K71" s="103">
        <v>14.437319063853559</v>
      </c>
      <c r="L71" s="103">
        <v>7.0755269127337117</v>
      </c>
      <c r="M71" s="103">
        <v>12.753385714778133</v>
      </c>
      <c r="N71" s="103">
        <v>10.817268312470306</v>
      </c>
      <c r="O71" s="103">
        <v>7.3830701622331176</v>
      </c>
      <c r="P71" s="103">
        <v>8.065379426161698</v>
      </c>
    </row>
    <row r="72" spans="1:16" ht="10.95" customHeight="1" x14ac:dyDescent="0.2">
      <c r="A72" s="105" t="s">
        <v>140</v>
      </c>
      <c r="B72" s="102">
        <v>5871.82</v>
      </c>
      <c r="C72" s="102">
        <v>5870.4400000000005</v>
      </c>
      <c r="D72" s="102">
        <v>6201.9699999999993</v>
      </c>
      <c r="E72" s="102">
        <v>6461.130000000001</v>
      </c>
      <c r="F72" s="102">
        <v>6541.6637000000001</v>
      </c>
      <c r="I72" s="102"/>
      <c r="J72" s="103">
        <v>2.4187670384942432</v>
      </c>
      <c r="K72" s="103">
        <v>4.3547864840585726</v>
      </c>
      <c r="L72" s="103">
        <v>1.3476977715299483</v>
      </c>
      <c r="M72" s="103">
        <v>2.1300078191189251</v>
      </c>
      <c r="N72" s="103">
        <v>1.8577573441454012</v>
      </c>
      <c r="O72" s="103">
        <v>1.2718022798048871</v>
      </c>
      <c r="P72" s="103">
        <v>1.3200157993301975</v>
      </c>
    </row>
    <row r="73" spans="1:16" ht="10.95" customHeight="1" x14ac:dyDescent="0.2">
      <c r="A73" s="108" t="s">
        <v>141</v>
      </c>
      <c r="B73" s="102">
        <v>11714.25</v>
      </c>
      <c r="C73" s="102">
        <v>13039.460000000001</v>
      </c>
      <c r="D73" s="102">
        <v>13788.59</v>
      </c>
      <c r="E73" s="102">
        <v>13153.619999999999</v>
      </c>
      <c r="F73" s="102">
        <v>13119.676100000001</v>
      </c>
      <c r="I73" s="102">
        <v>0</v>
      </c>
      <c r="J73" s="103">
        <v>2.7721407928853563</v>
      </c>
      <c r="K73" s="103">
        <v>4.0577273229569935</v>
      </c>
      <c r="L73" s="103">
        <v>2.6886499620466391</v>
      </c>
      <c r="M73" s="103">
        <v>4.7311873994263562</v>
      </c>
      <c r="N73" s="103">
        <v>4.1302770471172616</v>
      </c>
      <c r="O73" s="103">
        <v>2.5891452274891784</v>
      </c>
      <c r="P73" s="103">
        <v>2.647366255482499</v>
      </c>
    </row>
    <row r="74" spans="1:16" ht="10.95" customHeight="1" x14ac:dyDescent="0.2">
      <c r="A74" s="108" t="s">
        <v>142</v>
      </c>
      <c r="B74" s="102">
        <v>5691.06</v>
      </c>
      <c r="C74" s="102">
        <v>8150.3</v>
      </c>
      <c r="D74" s="102">
        <v>7175.4500000000007</v>
      </c>
      <c r="E74" s="102">
        <v>8059.02</v>
      </c>
      <c r="F74" s="102">
        <v>9470.1921999999977</v>
      </c>
      <c r="I74" s="102"/>
      <c r="J74" s="103">
        <v>2.5912735095179009</v>
      </c>
      <c r="K74" s="103">
        <v>3.0016209645625818</v>
      </c>
      <c r="L74" s="103">
        <v>1.3062098088230272</v>
      </c>
      <c r="M74" s="103">
        <v>2.9572234326839171</v>
      </c>
      <c r="N74" s="103">
        <v>2.1493565649379347</v>
      </c>
      <c r="O74" s="103">
        <v>1.5863293276862065</v>
      </c>
      <c r="P74" s="103">
        <v>1.9109516936331652</v>
      </c>
    </row>
    <row r="75" spans="1:16" ht="10.95" customHeight="1" x14ac:dyDescent="0.2">
      <c r="A75" s="108" t="s">
        <v>143</v>
      </c>
      <c r="B75" s="102">
        <v>2407.71</v>
      </c>
      <c r="C75" s="102">
        <v>3208.27</v>
      </c>
      <c r="D75" s="102">
        <v>3105.39</v>
      </c>
      <c r="E75" s="102">
        <v>3142.8799999999992</v>
      </c>
      <c r="F75" s="102">
        <v>4034.8845000000001</v>
      </c>
      <c r="I75" s="102"/>
      <c r="J75" s="103">
        <v>0.78749984750329927</v>
      </c>
      <c r="K75" s="103">
        <v>1.5180697648566939</v>
      </c>
      <c r="L75" s="103">
        <v>0.55261663359748281</v>
      </c>
      <c r="M75" s="103">
        <v>1.1640763189547416</v>
      </c>
      <c r="N75" s="103">
        <v>0.93019815944541628</v>
      </c>
      <c r="O75" s="103">
        <v>0.61864131338530293</v>
      </c>
      <c r="P75" s="103">
        <v>0.81418298658069566</v>
      </c>
    </row>
    <row r="76" spans="1:16" ht="10.95" customHeight="1" x14ac:dyDescent="0.2">
      <c r="A76" s="110" t="s">
        <v>144</v>
      </c>
      <c r="B76" s="102">
        <v>-5490.7000000000007</v>
      </c>
      <c r="C76" s="102">
        <v>-54.780000000000342</v>
      </c>
      <c r="D76" s="102">
        <v>10147.6</v>
      </c>
      <c r="E76" s="102">
        <v>5877.8000000000011</v>
      </c>
      <c r="F76" s="102">
        <v>8618.1451000000015</v>
      </c>
      <c r="I76" s="102"/>
      <c r="J76" s="103">
        <v>4.4955862153557442</v>
      </c>
      <c r="K76" s="103">
        <v>-2.8572866478462702</v>
      </c>
      <c r="L76" s="103">
        <v>-1.2602232619766083</v>
      </c>
      <c r="M76" s="103">
        <v>-1.9876164023707839E-2</v>
      </c>
      <c r="N76" s="103">
        <v>3.039643601218625</v>
      </c>
      <c r="O76" s="103">
        <v>1.1569801939037236</v>
      </c>
      <c r="P76" s="103">
        <v>1.7390205633652684</v>
      </c>
    </row>
    <row r="77" spans="1:16" ht="10.95" customHeight="1" x14ac:dyDescent="0.2">
      <c r="A77" s="104" t="s">
        <v>145</v>
      </c>
      <c r="B77" s="102">
        <v>-5956.87</v>
      </c>
      <c r="C77" s="102">
        <v>-642.5</v>
      </c>
      <c r="D77" s="102">
        <v>8050.43</v>
      </c>
      <c r="E77" s="102">
        <v>5393.0300000000007</v>
      </c>
      <c r="F77" s="102">
        <v>8945.3277999999991</v>
      </c>
      <c r="I77" s="102"/>
      <c r="J77" s="103">
        <v>4.4239189622480408</v>
      </c>
      <c r="K77" s="103">
        <v>-2.4599064956969401</v>
      </c>
      <c r="L77" s="103">
        <v>-1.3672184134209842</v>
      </c>
      <c r="M77" s="103">
        <v>-0.23312222316962772</v>
      </c>
      <c r="N77" s="103">
        <v>2.411450789995512</v>
      </c>
      <c r="O77" s="103">
        <v>1.0615585584961378</v>
      </c>
      <c r="P77" s="103">
        <v>1.8050414340602123</v>
      </c>
    </row>
    <row r="78" spans="1:16" ht="10.95" customHeight="1" x14ac:dyDescent="0.2">
      <c r="A78" s="109" t="s">
        <v>146</v>
      </c>
      <c r="B78" s="102">
        <v>466.16999999999996</v>
      </c>
      <c r="C78" s="102">
        <v>587.72</v>
      </c>
      <c r="D78" s="102">
        <v>2097.16</v>
      </c>
      <c r="E78" s="102">
        <v>484.78</v>
      </c>
      <c r="F78" s="102">
        <v>-327.18259999999998</v>
      </c>
      <c r="I78" s="102"/>
      <c r="J78" s="103">
        <v>7.1672760889221421E-2</v>
      </c>
      <c r="K78" s="103">
        <v>-0.39737604719450148</v>
      </c>
      <c r="L78" s="103">
        <v>0.10699515144437599</v>
      </c>
      <c r="M78" s="103">
        <v>0.21324605914591999</v>
      </c>
      <c r="N78" s="103">
        <v>0.62818981579207411</v>
      </c>
      <c r="O78" s="103">
        <v>9.5423603797449214E-2</v>
      </c>
      <c r="P78" s="103">
        <v>-6.6020850516349872E-2</v>
      </c>
    </row>
    <row r="79" spans="1:16" ht="10.95" customHeight="1" x14ac:dyDescent="0.2">
      <c r="A79" s="111" t="s">
        <v>147</v>
      </c>
      <c r="B79" s="102">
        <v>318625.63</v>
      </c>
      <c r="C79" s="102">
        <v>129921.23000000001</v>
      </c>
      <c r="D79" s="102">
        <v>181859.93</v>
      </c>
      <c r="E79" s="102">
        <v>342910.27999999997</v>
      </c>
      <c r="F79" s="102">
        <v>322321.06850639405</v>
      </c>
      <c r="I79" s="102"/>
      <c r="J79" s="103">
        <v>60.643519278515875</v>
      </c>
      <c r="K79" s="103">
        <v>53.214458767452847</v>
      </c>
      <c r="L79" s="103">
        <v>73.130826814058636</v>
      </c>
      <c r="M79" s="103">
        <v>47.140118248299665</v>
      </c>
      <c r="N79" s="103">
        <v>54.474887908723943</v>
      </c>
      <c r="O79" s="103">
        <v>67.498111920443037</v>
      </c>
      <c r="P79" s="103">
        <v>65.039861784003207</v>
      </c>
    </row>
    <row r="80" spans="1:16" ht="10.95" customHeight="1" x14ac:dyDescent="0.2">
      <c r="A80" s="104" t="s">
        <v>148</v>
      </c>
      <c r="B80" s="102">
        <v>185059.25999999998</v>
      </c>
      <c r="C80" s="102">
        <v>186908.59999999998</v>
      </c>
      <c r="D80" s="102">
        <v>116441.59999999998</v>
      </c>
      <c r="E80" s="102">
        <v>177840.96</v>
      </c>
      <c r="F80" s="102">
        <v>217597.26262666102</v>
      </c>
      <c r="I80" s="102"/>
      <c r="J80" s="103">
        <v>31.491710196729414</v>
      </c>
      <c r="K80" s="103">
        <v>57.277132560977883</v>
      </c>
      <c r="L80" s="103">
        <v>42.47472713791997</v>
      </c>
      <c r="M80" s="103">
        <v>67.817195893420504</v>
      </c>
      <c r="N80" s="103">
        <v>34.87927828803447</v>
      </c>
      <c r="O80" s="103">
        <v>35.006034295965208</v>
      </c>
      <c r="P80" s="103">
        <v>43.908069526440933</v>
      </c>
    </row>
    <row r="81" spans="1:16" ht="10.95" customHeight="1" x14ac:dyDescent="0.2">
      <c r="A81" s="109" t="s">
        <v>149</v>
      </c>
      <c r="B81" s="102">
        <v>130122.00000000003</v>
      </c>
      <c r="C81" s="102">
        <v>-53572.679999999971</v>
      </c>
      <c r="D81" s="102">
        <v>44199.220000000016</v>
      </c>
      <c r="E81" s="102">
        <v>144157.55999999997</v>
      </c>
      <c r="F81" s="102">
        <v>103451.26467261005</v>
      </c>
      <c r="I81" s="102"/>
      <c r="J81" s="103">
        <v>27.739644193458513</v>
      </c>
      <c r="K81" s="103">
        <v>-5.1433647263858768</v>
      </c>
      <c r="L81" s="103">
        <v>29.865549255089558</v>
      </c>
      <c r="M81" s="103">
        <v>-19.438104689112912</v>
      </c>
      <c r="N81" s="103">
        <v>13.239571549120416</v>
      </c>
      <c r="O81" s="103">
        <v>28.375827983512128</v>
      </c>
      <c r="P81" s="103">
        <v>20.875011326023252</v>
      </c>
    </row>
    <row r="82" spans="1:16" ht="10.95" customHeight="1" x14ac:dyDescent="0.2">
      <c r="A82" s="112" t="s">
        <v>150</v>
      </c>
      <c r="B82" s="102">
        <v>-9737.1299999999992</v>
      </c>
      <c r="C82" s="102">
        <v>-9985.6</v>
      </c>
      <c r="D82" s="102">
        <v>18766.93</v>
      </c>
      <c r="E82" s="102">
        <v>-6157.21</v>
      </c>
      <c r="F82" s="102">
        <v>-9291.472191289</v>
      </c>
      <c r="I82" s="102"/>
      <c r="J82" s="103">
        <v>-0.4787501389682125</v>
      </c>
      <c r="K82" s="103">
        <v>-3.0603012938325027</v>
      </c>
      <c r="L82" s="103">
        <v>-2.2348621725627495</v>
      </c>
      <c r="M82" s="103">
        <v>-3.6231366096227773</v>
      </c>
      <c r="N82" s="103">
        <v>5.6215044630274988</v>
      </c>
      <c r="O82" s="103">
        <v>-1.21197897507672</v>
      </c>
      <c r="P82" s="103">
        <v>-1.8748885075731805</v>
      </c>
    </row>
    <row r="83" spans="1:16" ht="10.95" customHeight="1" x14ac:dyDescent="0.2">
      <c r="A83" s="113" t="s">
        <v>151</v>
      </c>
      <c r="B83" s="102">
        <v>13181.500000000002</v>
      </c>
      <c r="C83" s="102">
        <v>6570.9100000000008</v>
      </c>
      <c r="D83" s="102">
        <v>2452.1800000000007</v>
      </c>
      <c r="E83" s="102">
        <v>27068.97</v>
      </c>
      <c r="F83" s="102">
        <v>10564.013398411998</v>
      </c>
      <c r="I83" s="102"/>
      <c r="J83" s="103">
        <v>1.8909150272961526</v>
      </c>
      <c r="K83" s="103">
        <v>4.1409922266933394</v>
      </c>
      <c r="L83" s="103">
        <v>3.0254125936118639</v>
      </c>
      <c r="M83" s="103">
        <v>2.3841636536148463</v>
      </c>
      <c r="N83" s="103">
        <v>0.73453360854155569</v>
      </c>
      <c r="O83" s="103">
        <v>5.3282286160424093</v>
      </c>
      <c r="P83" s="103">
        <v>2.1316694391122137</v>
      </c>
    </row>
    <row r="84" spans="1:16" ht="10.95" customHeight="1" x14ac:dyDescent="0.2">
      <c r="A84" s="135" t="s">
        <v>70</v>
      </c>
      <c r="B84" s="136">
        <v>18351.64</v>
      </c>
      <c r="C84" s="136">
        <v>23786.719999999998</v>
      </c>
      <c r="D84" s="136">
        <v>22046.879999999997</v>
      </c>
      <c r="E84" s="136">
        <v>30775.439999999999</v>
      </c>
      <c r="F84" s="136">
        <v>30597.152099999996</v>
      </c>
      <c r="I84" s="102"/>
      <c r="J84" s="103">
        <v>3.2380220003375721</v>
      </c>
      <c r="K84" s="103">
        <v>5.8639813365765763</v>
      </c>
      <c r="L84" s="103">
        <v>4.2120610529477842</v>
      </c>
      <c r="M84" s="103">
        <v>8.6306817872582808</v>
      </c>
      <c r="N84" s="103">
        <v>6.6039908666911256</v>
      </c>
      <c r="O84" s="103">
        <v>6.0578064137385423</v>
      </c>
      <c r="P84" s="103">
        <v>6.1740752870724798</v>
      </c>
    </row>
    <row r="85" spans="1:16" ht="10.95" customHeight="1" x14ac:dyDescent="0.2">
      <c r="A85" s="90"/>
      <c r="B85" s="114"/>
      <c r="C85" s="114"/>
      <c r="D85" s="114"/>
      <c r="E85" s="114"/>
      <c r="F85" s="114"/>
      <c r="I85" s="115"/>
      <c r="J85" s="116"/>
      <c r="K85" s="116"/>
      <c r="L85" s="116"/>
      <c r="M85" s="116"/>
      <c r="N85" s="116"/>
      <c r="O85" s="116"/>
      <c r="P85" s="116"/>
    </row>
    <row r="86" spans="1:16" ht="10.95" customHeight="1" x14ac:dyDescent="0.2">
      <c r="A86" s="117" t="s">
        <v>152</v>
      </c>
      <c r="B86" s="118">
        <v>435692.64</v>
      </c>
      <c r="C86" s="118">
        <v>275606.5</v>
      </c>
      <c r="D86" s="118">
        <v>333841.77</v>
      </c>
      <c r="E86" s="118">
        <v>508029.44</v>
      </c>
      <c r="F86" s="118">
        <v>495574.6517063941</v>
      </c>
      <c r="I86" s="119"/>
      <c r="J86" s="120">
        <v>100</v>
      </c>
      <c r="K86" s="120">
        <v>100</v>
      </c>
      <c r="L86" s="120">
        <v>100</v>
      </c>
      <c r="M86" s="120">
        <v>100</v>
      </c>
      <c r="N86" s="120">
        <v>100</v>
      </c>
      <c r="O86" s="120">
        <v>100</v>
      </c>
      <c r="P86" s="120">
        <v>100</v>
      </c>
    </row>
    <row r="87" spans="1:16" ht="10.95" customHeight="1" x14ac:dyDescent="0.2">
      <c r="A87" s="117" t="s">
        <v>153</v>
      </c>
      <c r="B87" s="121"/>
      <c r="C87" s="121"/>
      <c r="D87" s="121"/>
      <c r="E87" s="121"/>
      <c r="F87" s="121"/>
      <c r="I87" s="122"/>
      <c r="J87" s="123"/>
      <c r="K87" s="124"/>
      <c r="L87" s="124"/>
      <c r="M87" s="124"/>
      <c r="N87" s="124"/>
      <c r="O87" s="125"/>
      <c r="P87" s="90"/>
    </row>
    <row r="88" spans="1:16" ht="10.95" customHeight="1" x14ac:dyDescent="0.2">
      <c r="A88" s="126" t="s">
        <v>154</v>
      </c>
      <c r="B88" s="127">
        <v>448860.82976535149</v>
      </c>
      <c r="C88" s="127">
        <v>270115.65116962366</v>
      </c>
      <c r="D88" s="127">
        <v>336941.11271709483</v>
      </c>
      <c r="E88" s="127">
        <v>508029.44</v>
      </c>
      <c r="F88" s="127">
        <v>464152.99762302742</v>
      </c>
      <c r="I88" s="128"/>
      <c r="J88" s="129"/>
      <c r="K88" s="130"/>
      <c r="L88" s="130"/>
      <c r="M88" s="130"/>
      <c r="N88" s="130"/>
      <c r="O88" s="131"/>
      <c r="P88" s="126"/>
    </row>
    <row r="89" spans="1:16" ht="10.95" customHeight="1" x14ac:dyDescent="0.2">
      <c r="A89" s="132"/>
      <c r="B89" s="124"/>
      <c r="C89" s="124"/>
      <c r="D89" s="124"/>
      <c r="E89" s="124"/>
      <c r="F89" s="124"/>
      <c r="G89" s="124"/>
      <c r="H89" s="124"/>
      <c r="I89" s="124"/>
      <c r="J89" s="123"/>
      <c r="K89" s="124"/>
      <c r="L89" s="124"/>
      <c r="M89" s="124"/>
      <c r="N89" s="124"/>
      <c r="O89" s="125"/>
      <c r="P89" s="90"/>
    </row>
    <row r="90" spans="1:16" ht="10.95" customHeight="1" x14ac:dyDescent="0.2">
      <c r="A90" s="133" t="s">
        <v>158</v>
      </c>
      <c r="B90" s="90"/>
      <c r="C90" s="90"/>
      <c r="D90" s="90"/>
      <c r="E90" s="90"/>
      <c r="F90" s="90"/>
      <c r="G90" s="90"/>
      <c r="H90" s="89"/>
      <c r="I90" s="89"/>
      <c r="J90" s="89"/>
      <c r="K90" s="89"/>
      <c r="L90" s="89"/>
      <c r="M90" s="89"/>
      <c r="N90" s="89" t="s">
        <v>126</v>
      </c>
      <c r="O90" s="90"/>
      <c r="P90" s="90"/>
    </row>
    <row r="91" spans="1:16" ht="10.95" customHeight="1" x14ac:dyDescent="0.2">
      <c r="A91" s="134" t="s">
        <v>159</v>
      </c>
      <c r="B91" s="90"/>
      <c r="C91" s="90"/>
      <c r="D91" s="90"/>
      <c r="E91" s="90"/>
      <c r="F91" s="90"/>
      <c r="G91" s="90"/>
      <c r="H91" s="89"/>
      <c r="I91" s="89"/>
      <c r="J91" s="89"/>
      <c r="K91" s="89"/>
      <c r="L91" s="89"/>
      <c r="M91" s="89"/>
      <c r="N91" s="89"/>
      <c r="O91" s="90"/>
      <c r="P91" s="90"/>
    </row>
    <row r="92" spans="1:16" ht="10.95" customHeight="1" x14ac:dyDescent="0.2">
      <c r="A92" s="90"/>
      <c r="B92" s="90"/>
      <c r="C92" s="119"/>
      <c r="D92" s="90"/>
      <c r="E92" s="90"/>
      <c r="F92" s="90"/>
      <c r="G92" s="90"/>
      <c r="H92" s="89"/>
      <c r="I92" s="89"/>
      <c r="J92" s="89"/>
      <c r="K92" s="89"/>
      <c r="L92" s="89"/>
      <c r="M92" s="89"/>
      <c r="N92" s="89"/>
      <c r="O92" s="90"/>
      <c r="P92" s="90"/>
    </row>
    <row r="93" spans="1:16" ht="10.95" customHeight="1" x14ac:dyDescent="0.2">
      <c r="A93" s="132" t="s">
        <v>155</v>
      </c>
      <c r="B93" s="90"/>
      <c r="C93" s="90"/>
      <c r="D93" s="90"/>
      <c r="E93" s="90"/>
      <c r="F93" s="90"/>
      <c r="G93" s="90"/>
      <c r="H93" s="89"/>
      <c r="I93" s="89"/>
      <c r="J93" s="89"/>
      <c r="K93" s="89"/>
      <c r="L93" s="89"/>
      <c r="M93" s="89"/>
      <c r="N93" s="89"/>
      <c r="O93" s="90"/>
      <c r="P93" s="90"/>
    </row>
    <row r="95" spans="1:16" ht="10.95" customHeight="1" x14ac:dyDescent="0.2">
      <c r="A95" s="143" t="s">
        <v>161</v>
      </c>
      <c r="B95" s="144">
        <f>SUM(B14,B54,B84)</f>
        <v>26912.980123442794</v>
      </c>
      <c r="C95" s="144">
        <f>SUM(C14,C54,C84)</f>
        <v>35898.259999999995</v>
      </c>
      <c r="D95" s="144">
        <f>SUM(D14,D54,D84)</f>
        <v>31599.388137904811</v>
      </c>
      <c r="E95" s="144">
        <f>SUM(E14,E54,E84)</f>
        <v>40315.969991622944</v>
      </c>
      <c r="F95" s="144">
        <f>SUM(F14,F54,F84)</f>
        <v>43136.684887216747</v>
      </c>
    </row>
  </sheetData>
  <mergeCells count="4">
    <mergeCell ref="J60:P60"/>
    <mergeCell ref="G23:H23"/>
    <mergeCell ref="B25:F25"/>
    <mergeCell ref="B60:H60"/>
  </mergeCells>
  <pageMargins left="0.17" right="0.16" top="0.17" bottom="0.17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Historical</vt:lpstr>
      <vt:lpstr>Non-DAC</vt:lpstr>
      <vt:lpstr>Figure 1</vt:lpstr>
      <vt:lpstr>Figure 2</vt:lpstr>
      <vt:lpstr>Figure 3</vt:lpstr>
      <vt:lpstr>'Non-DAC'!Print_Area</vt:lpstr>
    </vt:vector>
  </TitlesOfParts>
  <Company>ANU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 O</dc:creator>
  <cp:lastModifiedBy>Robin Davies</cp:lastModifiedBy>
  <cp:lastPrinted>2013-09-10T07:21:01Z</cp:lastPrinted>
  <dcterms:created xsi:type="dcterms:W3CDTF">2013-02-19T23:34:05Z</dcterms:created>
  <dcterms:modified xsi:type="dcterms:W3CDTF">2013-10-01T06:01:56Z</dcterms:modified>
</cp:coreProperties>
</file>