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p\cseg\CSEG2\redirections\u5098734\Desktop\"/>
    </mc:Choice>
  </mc:AlternateContent>
  <bookViews>
    <workbookView xWindow="0" yWindow="0" windowWidth="19200" windowHeight="11760"/>
  </bookViews>
  <sheets>
    <sheet name="Tables" sheetId="1" r:id="rId1"/>
  </sheets>
  <calcPr calcId="152511"/>
</workbook>
</file>

<file path=xl/calcChain.xml><?xml version="1.0" encoding="utf-8"?>
<calcChain xmlns="http://schemas.openxmlformats.org/spreadsheetml/2006/main">
  <c r="K71" i="1" l="1"/>
  <c r="M109" i="1"/>
  <c r="N65" i="1"/>
  <c r="G16" i="1"/>
  <c r="E17" i="1"/>
  <c r="E16" i="1"/>
  <c r="E15" i="1"/>
  <c r="E14" i="1"/>
  <c r="E10" i="1"/>
  <c r="N24" i="1"/>
  <c r="N21" i="1"/>
  <c r="N19" i="1"/>
  <c r="N17" i="1"/>
  <c r="N14" i="1"/>
  <c r="N13" i="1"/>
  <c r="N10" i="1"/>
  <c r="M27" i="1"/>
  <c r="M26" i="1"/>
  <c r="M25" i="1"/>
  <c r="M24" i="1"/>
  <c r="M23" i="1"/>
  <c r="M22" i="1"/>
  <c r="M21" i="1"/>
  <c r="M19" i="1"/>
  <c r="M17" i="1"/>
  <c r="M16" i="1"/>
  <c r="M15" i="1"/>
  <c r="M13" i="1"/>
  <c r="M14" i="1"/>
  <c r="L14" i="1"/>
  <c r="M12" i="1"/>
  <c r="M11" i="1"/>
  <c r="M10" i="1"/>
  <c r="L26" i="1"/>
  <c r="L25" i="1"/>
  <c r="L24" i="1"/>
  <c r="L23" i="1"/>
  <c r="L22" i="1"/>
  <c r="L21" i="1"/>
  <c r="L20" i="1"/>
  <c r="L19" i="1"/>
  <c r="L18" i="1"/>
  <c r="L17" i="1"/>
  <c r="L16" i="1"/>
  <c r="L15" i="1"/>
  <c r="L12" i="1"/>
  <c r="L10" i="1"/>
  <c r="L11" i="1"/>
  <c r="L27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2" i="1"/>
  <c r="K11" i="1"/>
  <c r="K10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H18" i="1"/>
  <c r="F14" i="1"/>
  <c r="F15" i="1"/>
  <c r="F16" i="1"/>
  <c r="E11" i="1"/>
  <c r="J11" i="1"/>
  <c r="J10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2" i="1"/>
  <c r="I11" i="1"/>
  <c r="I10" i="1"/>
  <c r="H26" i="1"/>
  <c r="H25" i="1"/>
  <c r="H24" i="1"/>
  <c r="H23" i="1"/>
  <c r="H22" i="1"/>
  <c r="H21" i="1"/>
  <c r="H19" i="1"/>
  <c r="H20" i="1"/>
  <c r="H17" i="1"/>
  <c r="H16" i="1"/>
  <c r="H15" i="1"/>
  <c r="H14" i="1"/>
  <c r="H12" i="1"/>
  <c r="H11" i="1"/>
  <c r="H10" i="1"/>
  <c r="G26" i="1"/>
  <c r="G25" i="1"/>
  <c r="G24" i="1"/>
  <c r="G23" i="1"/>
  <c r="G22" i="1"/>
  <c r="G21" i="1"/>
  <c r="G18" i="1"/>
  <c r="G17" i="1"/>
  <c r="G15" i="1"/>
  <c r="G14" i="1"/>
  <c r="G12" i="1"/>
  <c r="G11" i="1"/>
  <c r="G10" i="1"/>
  <c r="F26" i="1"/>
  <c r="F25" i="1"/>
  <c r="F24" i="1"/>
  <c r="F23" i="1"/>
  <c r="F22" i="1"/>
  <c r="F21" i="1"/>
  <c r="F18" i="1"/>
  <c r="F17" i="1"/>
  <c r="F12" i="1"/>
  <c r="F11" i="1"/>
  <c r="F10" i="1"/>
  <c r="E12" i="1"/>
  <c r="E18" i="1"/>
  <c r="E21" i="1"/>
  <c r="E22" i="1"/>
  <c r="E23" i="1"/>
  <c r="E26" i="1"/>
  <c r="E25" i="1"/>
  <c r="E24" i="1"/>
  <c r="E39" i="1"/>
  <c r="E33" i="1"/>
  <c r="E130" i="1"/>
  <c r="M76" i="1" l="1"/>
  <c r="M60" i="1" s="1"/>
  <c r="M54" i="1"/>
  <c r="M44" i="1"/>
  <c r="M111" i="1" s="1"/>
  <c r="M34" i="1"/>
  <c r="F76" i="1"/>
  <c r="F44" i="1"/>
  <c r="F130" i="1"/>
  <c r="F124" i="1"/>
  <c r="G76" i="1"/>
  <c r="G34" i="1" s="1"/>
  <c r="G44" i="1"/>
  <c r="G130" i="1"/>
  <c r="H76" i="1"/>
  <c r="H44" i="1"/>
  <c r="H130" i="1"/>
  <c r="H124" i="1" s="1"/>
  <c r="I76" i="1"/>
  <c r="I44" i="1"/>
  <c r="I130" i="1"/>
  <c r="J76" i="1"/>
  <c r="J44" i="1"/>
  <c r="J130" i="1"/>
  <c r="J124" i="1" s="1"/>
  <c r="K76" i="1"/>
  <c r="K44" i="1"/>
  <c r="K130" i="1"/>
  <c r="K124" i="1"/>
  <c r="L76" i="1"/>
  <c r="L34" i="1" s="1"/>
  <c r="L44" i="1"/>
  <c r="L28" i="1"/>
  <c r="L130" i="1"/>
  <c r="L124" i="1" s="1"/>
  <c r="E76" i="1"/>
  <c r="E44" i="1"/>
  <c r="E124" i="1"/>
  <c r="F38" i="1"/>
  <c r="F123" i="1"/>
  <c r="G38" i="1"/>
  <c r="H33" i="1"/>
  <c r="H123" i="1"/>
  <c r="I43" i="1"/>
  <c r="I65" i="1"/>
  <c r="I48" i="1"/>
  <c r="J33" i="1"/>
  <c r="J123" i="1"/>
  <c r="K123" i="1"/>
  <c r="L70" i="1"/>
  <c r="L123" i="1"/>
  <c r="M48" i="1"/>
  <c r="M85" i="1" s="1"/>
  <c r="M130" i="1"/>
  <c r="M123" i="1"/>
  <c r="N27" i="1"/>
  <c r="N76" i="1"/>
  <c r="N130" i="1"/>
  <c r="N123" i="1" s="1"/>
  <c r="E48" i="1"/>
  <c r="E120" i="1" s="1"/>
  <c r="E123" i="1"/>
  <c r="E118" i="1"/>
  <c r="E80" i="1"/>
  <c r="E85" i="1"/>
  <c r="M124" i="1"/>
  <c r="M33" i="1"/>
  <c r="M100" i="1"/>
  <c r="L81" i="1"/>
  <c r="L100" i="1" s="1"/>
  <c r="L80" i="1"/>
  <c r="L99" i="1" s="1"/>
  <c r="L65" i="1"/>
  <c r="M80" i="1"/>
  <c r="N80" i="1"/>
  <c r="N99" i="1" s="1"/>
  <c r="K81" i="1"/>
  <c r="K80" i="1"/>
  <c r="E81" i="1"/>
  <c r="E99" i="1"/>
  <c r="H80" i="1"/>
  <c r="F81" i="1"/>
  <c r="F100" i="1" s="1"/>
  <c r="F80" i="1"/>
  <c r="F99" i="1" s="1"/>
  <c r="G81" i="1"/>
  <c r="G100" i="1" s="1"/>
  <c r="G80" i="1"/>
  <c r="G99" i="1" s="1"/>
  <c r="H81" i="1"/>
  <c r="I81" i="1"/>
  <c r="I80" i="1"/>
  <c r="J81" i="1"/>
  <c r="J100" i="1"/>
  <c r="J80" i="1"/>
  <c r="J99" i="1"/>
  <c r="M53" i="1"/>
  <c r="K59" i="1"/>
  <c r="G59" i="1"/>
  <c r="L95" i="1"/>
  <c r="M70" i="1"/>
  <c r="L71" i="1"/>
  <c r="M59" i="1"/>
  <c r="E38" i="1"/>
  <c r="J54" i="1"/>
  <c r="I38" i="1"/>
  <c r="L54" i="1"/>
  <c r="I54" i="1"/>
  <c r="K53" i="1"/>
  <c r="L60" i="1"/>
  <c r="K60" i="1"/>
  <c r="J60" i="1"/>
  <c r="G60" i="1"/>
  <c r="F60" i="1"/>
  <c r="E60" i="1"/>
  <c r="N59" i="1"/>
  <c r="J59" i="1"/>
  <c r="E59" i="1"/>
  <c r="J12" i="1"/>
  <c r="L66" i="1"/>
  <c r="J65" i="1"/>
  <c r="M65" i="1"/>
  <c r="N53" i="1"/>
  <c r="G33" i="1"/>
  <c r="I33" i="1"/>
  <c r="J43" i="1"/>
  <c r="K43" i="1"/>
  <c r="L33" i="1"/>
  <c r="L38" i="1"/>
  <c r="M38" i="1"/>
  <c r="N43" i="1"/>
  <c r="L59" i="1"/>
  <c r="I60" i="1"/>
  <c r="G53" i="1"/>
  <c r="J53" i="1"/>
  <c r="L53" i="1"/>
  <c r="G54" i="1"/>
  <c r="K54" i="1"/>
  <c r="E53" i="1"/>
  <c r="H54" i="1"/>
  <c r="F33" i="1"/>
  <c r="F43" i="1"/>
  <c r="F54" i="1"/>
  <c r="H59" i="1"/>
  <c r="H60" i="1"/>
  <c r="F53" i="1"/>
  <c r="H53" i="1"/>
  <c r="H99" i="1"/>
  <c r="H100" i="1"/>
  <c r="G43" i="1"/>
  <c r="M43" i="1"/>
  <c r="M99" i="1"/>
  <c r="M55" i="1" l="1"/>
  <c r="M104" i="1"/>
  <c r="G48" i="1"/>
  <c r="G85" i="1" s="1"/>
  <c r="F48" i="1"/>
  <c r="F118" i="1" s="1"/>
  <c r="L39" i="1"/>
  <c r="J34" i="1"/>
  <c r="I34" i="1"/>
  <c r="G39" i="1"/>
  <c r="J66" i="1"/>
  <c r="J39" i="1"/>
  <c r="H66" i="1"/>
  <c r="H39" i="1"/>
  <c r="F39" i="1"/>
  <c r="N70" i="1"/>
  <c r="N38" i="1"/>
  <c r="N33" i="1"/>
  <c r="N48" i="1"/>
  <c r="H48" i="1"/>
  <c r="E34" i="1"/>
  <c r="E43" i="1"/>
  <c r="L49" i="1"/>
  <c r="K34" i="1"/>
  <c r="K95" i="1"/>
  <c r="K33" i="1"/>
  <c r="I124" i="1"/>
  <c r="I123" i="1"/>
  <c r="I118" i="1" s="1"/>
  <c r="G124" i="1"/>
  <c r="G123" i="1"/>
  <c r="G118" i="1" s="1"/>
  <c r="I85" i="1"/>
  <c r="E100" i="1"/>
  <c r="H38" i="1"/>
  <c r="I59" i="1"/>
  <c r="I53" i="1"/>
  <c r="K38" i="1"/>
  <c r="K70" i="1"/>
  <c r="E54" i="1"/>
  <c r="I99" i="1"/>
  <c r="I100" i="1"/>
  <c r="K99" i="1"/>
  <c r="K100" i="1"/>
  <c r="M61" i="1"/>
  <c r="M118" i="1"/>
  <c r="L48" i="1"/>
  <c r="L43" i="1"/>
  <c r="K65" i="1"/>
  <c r="K48" i="1"/>
  <c r="J48" i="1"/>
  <c r="J38" i="1"/>
  <c r="K66" i="1"/>
  <c r="K39" i="1"/>
  <c r="J49" i="1"/>
  <c r="I66" i="1"/>
  <c r="I39" i="1"/>
  <c r="I49" i="1" s="1"/>
  <c r="H34" i="1"/>
  <c r="H49" i="1" s="1"/>
  <c r="H43" i="1"/>
  <c r="G49" i="1"/>
  <c r="F34" i="1"/>
  <c r="F49" i="1" s="1"/>
  <c r="F59" i="1"/>
  <c r="F85" i="1" l="1"/>
  <c r="I86" i="1"/>
  <c r="I119" i="1"/>
  <c r="I55" i="1"/>
  <c r="I61" i="1"/>
  <c r="I105" i="1"/>
  <c r="F119" i="1"/>
  <c r="F55" i="1"/>
  <c r="F61" i="1"/>
  <c r="F105" i="1"/>
  <c r="F86" i="1"/>
  <c r="F104" i="1"/>
  <c r="J55" i="1"/>
  <c r="J86" i="1"/>
  <c r="J105" i="1"/>
  <c r="J119" i="1"/>
  <c r="J61" i="1"/>
  <c r="J104" i="1"/>
  <c r="K118" i="1"/>
  <c r="K85" i="1"/>
  <c r="L105" i="1"/>
  <c r="L86" i="1"/>
  <c r="L61" i="1"/>
  <c r="L119" i="1"/>
  <c r="L55" i="1"/>
  <c r="H118" i="1"/>
  <c r="H85" i="1"/>
  <c r="L104" i="1"/>
  <c r="G119" i="1"/>
  <c r="G61" i="1"/>
  <c r="G55" i="1"/>
  <c r="G105" i="1"/>
  <c r="G104" i="1"/>
  <c r="G86" i="1"/>
  <c r="H105" i="1"/>
  <c r="H86" i="1"/>
  <c r="H119" i="1"/>
  <c r="H104" i="1"/>
  <c r="H55" i="1"/>
  <c r="H61" i="1"/>
  <c r="J118" i="1"/>
  <c r="J85" i="1"/>
  <c r="L118" i="1"/>
  <c r="L85" i="1"/>
  <c r="I104" i="1"/>
  <c r="K49" i="1"/>
  <c r="E49" i="1"/>
  <c r="N61" i="1"/>
  <c r="N118" i="1"/>
  <c r="N85" i="1"/>
  <c r="N55" i="1"/>
  <c r="K119" i="1" l="1"/>
  <c r="K105" i="1"/>
  <c r="K55" i="1"/>
  <c r="K86" i="1"/>
  <c r="K61" i="1"/>
  <c r="E119" i="1"/>
  <c r="E55" i="1"/>
  <c r="E86" i="1"/>
  <c r="E61" i="1"/>
  <c r="E105" i="1"/>
  <c r="E104" i="1"/>
  <c r="K104" i="1"/>
</calcChain>
</file>

<file path=xl/comments1.xml><?xml version="1.0" encoding="utf-8"?>
<comments xmlns="http://schemas.openxmlformats.org/spreadsheetml/2006/main">
  <authors>
    <author>Husnia Hushang</author>
    <author>Grant Walton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2008 budget: Summary_natdept, p. 3 &amp;  No. 503, p. 755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2009 Bud: Vol 2 P1.3, Summary - approp. statutory, p. 7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 2010 bud: Vol 2, Part 1, Summary - Statutory, p.7  &amp; Sum Statutory  &amp; 503 , p 937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2011  Bud: Vol 2, Part 3, Summary - Statutory, p.7  &amp; Sum Statutory 503 , P. 991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2012  Bud: Vol 2, Part 1.a _part 3, Summary - Statutory, p.7  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2013 bud: Vol 2, Part 1a, p. 55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2014 Bud: Vol 2, Part 1a,Rev &amp; Exp _GovDepts, p. 79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2015 Bud: Vol 2 a, Rev  &amp; Exp for Nat Gov Dep, P. 73</t>
        </r>
      </text>
    </comment>
    <comment ref="M10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2016 Budg: Vol 2a - Rev &amp; Exp _GovDepts, P. 62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2017 Budg: Vol 2a - Rev &amp; Exp _GovDepts, P. 69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2010 bud: Vol 2, Part 1, Summary - Statutory, p.7 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2011  Bud: 2010 bud: Vol 2, Part 3, Summary - Statutory, p.7  &amp; Sum Statutory 503 , P. 991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2012  Bud: Vol 2, Part 1.a _part 3, Summary - Statutory, p.7 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2013 bud: Vol 2, Part 1a, p. 55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2014 Bud: Vol 2, Part 1a, Rev &amp; Exp _GovDepts, p. 79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2015 Bud: Vol 2 a, Rev  &amp; Exp for Nat Gov Dep, P. 73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2016 Budg: Vol 2a - Rev &amp; Exp _GovDepts, P. 62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2017 Budg: Vol 2a - Rev &amp; Exp _GovDepts, P. 69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2016 FBO, Law and Justice, p. 54 &amp; 68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V2P1a, p. 79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Grant Walton:</t>
        </r>
        <r>
          <rPr>
            <sz val="9"/>
            <color indexed="81"/>
            <rFont val="Tahoma"/>
            <family val="2"/>
          </rPr>
          <t xml:space="preserve">
2016 Budget: Vol 2a, Rev&amp; Exp_GovtDepts, p. 47, Grants
Checked ' Fully funded through DFAT non-cash warrant of K520,000.00'</t>
        </r>
      </text>
    </comment>
    <comment ref="N13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 2017 budget: Vol 2a- Rev &amp; Exp Nat Govt Depts, Grants ,
 p. 183, 53&amp; 162; funded by DFAT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2008 Budget Summary_NatDept, p. 3/257 - 228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2009 Budget: Vol 2 part 1,3, exp- details.National Depts, 228 &amp; summary p.3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2010 Budget: vol 2, P1_recdev_deptsum.2010, p, 4
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2011 budget:  Vol 2 P3 , Sec A.Nati.Gov.Dept.20111, p 4 &amp; p 437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2012 Budget: Vol2, P1.a_rec.bud.est_P3summary.approp, p. 4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2013 Bud: Vol 2, P1a , p. 54 - budget summary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 xml:space="preserve">Husnia Hushang:
</t>
        </r>
        <r>
          <rPr>
            <sz val="9"/>
            <color indexed="81"/>
            <rFont val="Tahoma"/>
            <family val="2"/>
          </rPr>
          <t>2014 bud: Vol 2, P1a</t>
        </r>
        <r>
          <rPr>
            <b/>
            <sz val="9"/>
            <color indexed="81"/>
            <rFont val="Tahoma"/>
            <family val="2"/>
          </rPr>
          <t>_</t>
        </r>
        <r>
          <rPr>
            <sz val="9"/>
            <color indexed="81"/>
            <rFont val="Tahoma"/>
            <family val="2"/>
          </rPr>
          <t>Est of rev &amp; exp for Nati Gov Dept, p. 75</t>
        </r>
      </text>
    </comment>
    <comment ref="L14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2015 bud: Vol 2, P1a_Est of Rev &amp; Exp for Nati Gov Dept, p. 68</t>
        </r>
      </text>
    </comment>
    <comment ref="M14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2016 bud: Vol 2a_ Rev &amp; Exp for GovDept,  p. 58</t>
        </r>
      </text>
    </comment>
    <comment ref="N14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2017 bud: Vol 2a_ Rev &amp; Exp _Nat Gov Dept,  p. 64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2010 Budget: vol 2, part 1_rec_dept 228 , p, 389 &amp; 2010 Budget: vol 2, P1_recdev_deptsum.2010, p, 4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2011 budget:  Vol 2 P3 , Sec A. Nati.Gov.Dept.20111, p 4 &amp; p 437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2012 Budget: Vol2, P1.a_rec.bud.est_P3summary.approp, p. 4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2013 Bud: Vol 2, P1a , p. 54 - budget summary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2014 bud: Vol 2, P1a_Est of rev &amp; exp for Nati Gov Dept, p. 75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2015 bud: Vol 2, P1a_Est of Rev &amp; Exp for Nati Gov Dept, p. 68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2016 bud: Vol 2a_ Rev &amp; Exp for GovDept,  p. 58</t>
        </r>
      </text>
    </comment>
    <comment ref="L15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2017 bud: Vol 2a_ Rev &amp; Exp _Nat Gov Dept,  p. 64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2016 FBO, Law and Justice, p. 54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2008 Bud: P3, section_a.summary.228, p.256 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2009 Bud: Vol2, P1.3, details NatDept 228, P. 358 &amp;382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2010 Bud: Vol2, P1, rec_dept_228, p. 390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2011 Bud: Vol2, Pt3,sec a,  p. 436 &amp; 460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2012 Bud: Vol2, P1.a _ rec.bud.esti_part , p. 440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2013 Bud, Vol 2, P1a, rec_bud_esti_rev &amp; exp, P. 551 &amp; 581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2014 Bud: Vol 2 P1b, est_rev &amp; exp for nat Gov_dept,  p 2 &amp; 35</t>
        </r>
      </text>
    </comment>
    <comment ref="L17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2015 Bud: Vol 2b, rev &amp; exp for nat Gov_dept,  p 1 &amp; 34</t>
        </r>
      </text>
    </comment>
    <comment ref="M17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2016 Bud: Vol 2b, rev &amp; exp_ Gov_depts,  p.1&amp; 36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2017 Bud: Vol 2b, rev &amp; exp_ Nat_Gov_depts,  p. 1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2010 Bud: Vol2, P1, rec_dept_228, p. 390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2011 Bud: Vol2, Pt3, Sec a, p. 436 &amp; 460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2012 Bud: Vol2, P1.a _ rec.bud.esti_part , p. 440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2013 Bud, Vol 2, P1a, rec_bud_esti_rev &amp; exp, P. 551 &amp; 581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2014 Bud: Vol 2 P1b, est_rev &amp; exp for nat Gov_dept,  p 2 &amp; 35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2015 Bud: Vol 2b, rev &amp; exp for nat Gov_dept,  p 1 &amp; 34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2016 Bud: Vol 2b, rev &amp; exp_ Gov_depts,  p.1&amp; 36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2017 Bud: Vol 2b, rev &amp; exp_ Nat_Gov_depts,  p. 1</t>
        </r>
      </text>
    </comment>
    <comment ref="I19" authorId="1" shapeId="0">
      <text>
        <r>
          <rPr>
            <b/>
            <sz val="9"/>
            <color indexed="81"/>
            <rFont val="Tahoma"/>
            <family val="2"/>
          </rPr>
          <t>Grant Walton:</t>
        </r>
        <r>
          <rPr>
            <sz val="9"/>
            <color indexed="81"/>
            <rFont val="Tahoma"/>
            <family val="2"/>
          </rPr>
          <t xml:space="preserve">
2013 Budget, Vol 2, Part 1a, p. 157. ICAC Establishment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2013 Bud: Vol 2, P1a, p 155 &amp;160
recieved less 6million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2014 bud: Vol 2, P1a_Est of rev &amp; exp for Nati Gov Dept, p. 188
Money allocated to Taskforce Sweep last year never arrived and the agency has been surviving on the $2.6 million it received in 2013. 7 mil ear marked</t>
        </r>
      </text>
    </comment>
    <comment ref="L19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2015 Bud: Vol 2 a, Rev  &amp; Exp for Nat Gov Dep, p. 185 &amp;190
' budget cut from $9.2 million to $2.3 million for 2015'</t>
        </r>
      </text>
    </comment>
    <comment ref="M19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2016 Bud: Vol 2a_ Rev &amp; Exp for GovDep, p. 174 &amp; 178</t>
        </r>
      </text>
    </comment>
    <comment ref="N19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2017 bud: Vol 2a, Rev &amp; Exp _Nat Gov_Dept p. 186 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Sam Koim, interview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Sam Koim, interview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2008 budget: Summary_natdept, p. 3 &amp;  No. 502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2009 Budget: Vol 2 P1.3 Statutory, p. 7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 2010 bud: Vol 2, Part 1, recdev_csasum- Summary - Statutory, p.7  
502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2011  Bud: Vol 2, Part 3, details. Summary - Statutory, p.7  &amp; Sum 502. p 987</t>
        </r>
      </text>
    </comment>
    <comment ref="J21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2013 bud: Vol 2, Part 1a, p. 55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2014 Bud: Vol 2, Part 1a,Rev &amp; Exp _GovDepts, p. 79</t>
        </r>
      </text>
    </comment>
    <comment ref="L21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2015 Bud: Vol 2 a, Rev  &amp; Exp for Nat Gov Dep, P. 73</t>
        </r>
      </text>
    </comment>
    <comment ref="M21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2016 Budg: Vol 2a - Rev &amp; Exp _GovDepts, P. 62</t>
        </r>
      </text>
    </comment>
    <comment ref="N21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2017 Budg: Vol 2a - Rev &amp; Exp _GovDepts, P. 69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 2010 bud: Vol 2, Part 1, recdev_csasum- Summary - Statutory, p.7  
502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2011  Bud: Vol 2, Part 3, details. Summary - Statutory, p.7  &amp; Sum 502. p 987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Sum Statutory, p. 933
502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2013 bud: Vol 2, Part 1a, p. 55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2014 Bud: Vol 2, Part 1a,Rev &amp; Exp _GovDepts, p. 79</t>
        </r>
      </text>
    </comment>
    <comment ref="J22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2015 Bud: Vol 2 a, Rev  &amp; Exp for Nat Gov Dep, P. 73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2016 Budg: Vol 2a - Rev &amp; Exp _GovDepts, P. 62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2017 Budg: Vol 2a - Rev &amp; Exp _GovDepts, P. 69 &amp; p. 5 V2d 2017 bud</t>
        </r>
      </text>
    </comment>
    <comment ref="M22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2016 FBO, Commercial &amp; Statutory Authorities, p. 68 &amp; 43</t>
        </r>
      </text>
    </comment>
    <comment ref="E24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2008 Budget Summary_NatDept, p. 3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2009 Budget: Vol 2 part 1,3, exp- details.National Depts, &amp; summary p.3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2010 Budget: vol 2, P1_recdev_deptsum.2010, p, 3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2011 budget:  Vol 2 P3 , Sec A.Nati.Gov.Dept.20111, p 3  &amp; p 437</t>
        </r>
      </text>
    </comment>
    <comment ref="I24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2012 Budget: Vol2, P1.a_rec.bud.est_P3summary.approp, p. 4</t>
        </r>
      </text>
    </comment>
    <comment ref="J24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2013 Bud: Vol 2, P1a , p. 54 - budget summary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2014 bud: Vol 2, P1a_Est of rev &amp; exp for Nati Gov Dept, p. 75</t>
        </r>
      </text>
    </comment>
    <comment ref="L24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2015 bud: Vol 2, P1a_Est of Rev &amp; Exp for Nati Gov Dept, p. 68</t>
        </r>
      </text>
    </comment>
    <comment ref="M24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2016 bud: Vol 2a_ Rev &amp; Exp for GovDept,  p. 58 &amp; V 2a, p. 402 Appr</t>
        </r>
      </text>
    </comment>
    <comment ref="N24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2017 bud: Vol 2a_ Rev &amp; Exp _Nat Gov Dept,  p. 64</t>
        </r>
      </text>
    </comment>
    <comment ref="E25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2010 Budget: vol 2, P1_recdev_deptsum.2010, p, 3
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2011 budget:  Vol 2 P3 , Sec A.Nati.Gov.Dept.20111, p 3 &amp; p 437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2012 Budget: Vol2, P1.a_rec.bud.est_P3summary.approp, p. 4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2013 Bud: Vol 2, P1a , p. 54 - budget summary</t>
        </r>
      </text>
    </comment>
    <comment ref="I25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2014 bud: Vol 2, P1a_Est of rev &amp; exp for Nati Gov Dept, p. 75</t>
        </r>
      </text>
    </comment>
    <comment ref="J25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2015 bud: Vol 2, P1a_Est of Rev &amp; Exp for Nati Gov Dept, p. 68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2016 bud: Vol 2a_ Rev &amp; Exp for GovDept,  p. 58 &amp; V 2a, p. 402 Appr</t>
        </r>
      </text>
    </comment>
    <comment ref="L25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2017 bud: Vol 2a_ Rev &amp; Exp _Nat Gov Dept,  p. 64</t>
        </r>
      </text>
    </comment>
    <comment ref="M25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2016 FBO, Law and Justice, p. 54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2014 Bud: Vol2, P1b, est_rev &amp; exp for NatGovDepts, p. 3 &amp; 76</t>
        </r>
      </text>
    </comment>
    <comment ref="L27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2015 Bud: Vol2, P1b, est_rev &amp; exp for NatGovDepts, p. 2 &amp; 74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2016 Bud: Vol2b, est_rev &amp; exp for NatGovDepts, p. 2&amp; 76</t>
        </r>
      </text>
    </comment>
    <comment ref="N27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2017 Bud: Vol2b, est_rev &amp; exp for NatGovDepts, p. 3 &amp; 76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2016 Bud: Vol2b, est_rev &amp; exp for NatGovDepts, p. 2&amp; 76</t>
        </r>
      </text>
    </comment>
    <comment ref="L28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2017 Bud: Vol2b, est_rev &amp; exp for NatGovDepts, p. 3 &amp; 76</t>
        </r>
      </text>
    </comment>
    <comment ref="G29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revised bud </t>
        </r>
      </text>
    </comment>
    <comment ref="E81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2011 bud, p.175</t>
        </r>
      </text>
    </comment>
    <comment ref="F81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2011 bud, p. 175</t>
        </r>
      </text>
    </comment>
    <comment ref="G81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2012 bud, p. 34</t>
        </r>
      </text>
    </comment>
    <comment ref="H81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2013 bud, p. 39</t>
        </r>
      </text>
    </comment>
    <comment ref="I81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2014 bud, p. 28</t>
        </r>
      </text>
    </comment>
    <comment ref="J81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2015 bud, p. 28</t>
        </r>
      </text>
    </comment>
    <comment ref="K81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Bud 2016. p. 26</t>
        </r>
      </text>
    </comment>
    <comment ref="L81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2017 bud, p. 15</t>
        </r>
      </text>
    </comment>
    <comment ref="M81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2016 FBO, Expenditure And Net Lending ,p 13, </t>
        </r>
      </text>
    </comment>
    <comment ref="N86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Budgeted</t>
        </r>
      </text>
    </comment>
    <comment ref="M110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Budgeted</t>
        </r>
      </text>
    </comment>
    <comment ref="N110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Budgeted
</t>
        </r>
      </text>
    </comment>
    <comment ref="N111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Budgeted
</t>
        </r>
      </text>
    </comment>
    <comment ref="N112" authorId="0" shapeId="0">
      <text>
        <r>
          <rPr>
            <b/>
            <sz val="9"/>
            <color indexed="81"/>
            <rFont val="Tahoma"/>
            <family val="2"/>
          </rPr>
          <t xml:space="preserve">Husnia Hushang
</t>
        </r>
        <r>
          <rPr>
            <sz val="9"/>
            <color indexed="81"/>
            <rFont val="Tahoma"/>
            <family val="2"/>
          </rPr>
          <t>Budgeted</t>
        </r>
      </text>
    </comment>
    <comment ref="M113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Budgeted</t>
        </r>
      </text>
    </comment>
    <comment ref="N113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Budgeted</t>
        </r>
      </text>
    </comment>
    <comment ref="E124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2011 bud, p.175</t>
        </r>
      </text>
    </comment>
    <comment ref="F124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2011 bud, p. 175</t>
        </r>
      </text>
    </comment>
    <comment ref="G124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2012 bud, p. 34</t>
        </r>
      </text>
    </comment>
    <comment ref="H124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2013 bud, p. 39</t>
        </r>
      </text>
    </comment>
    <comment ref="I124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2014 bud, p. 28</t>
        </r>
      </text>
    </comment>
    <comment ref="J124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2015 bud, p. 28</t>
        </r>
      </text>
    </comment>
    <comment ref="K124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Bud 2016. p. 26</t>
        </r>
      </text>
    </comment>
    <comment ref="L124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2017 bud, p. 15</t>
        </r>
      </text>
    </comment>
    <comment ref="M124" authorId="0" shapeId="0">
      <text>
        <r>
          <rPr>
            <b/>
            <sz val="9"/>
            <color indexed="81"/>
            <rFont val="Tahoma"/>
            <family val="2"/>
          </rPr>
          <t>Husnia Hushang:</t>
        </r>
        <r>
          <rPr>
            <sz val="9"/>
            <color indexed="81"/>
            <rFont val="Tahoma"/>
            <family val="2"/>
          </rPr>
          <t xml:space="preserve">
Actual from 2016 FBO</t>
        </r>
      </text>
    </comment>
  </commentList>
</comments>
</file>

<file path=xl/sharedStrings.xml><?xml version="1.0" encoding="utf-8"?>
<sst xmlns="http://schemas.openxmlformats.org/spreadsheetml/2006/main" count="125" uniqueCount="73">
  <si>
    <t>Ombudsman Budget Commission (Actual)</t>
  </si>
  <si>
    <t>N/A</t>
  </si>
  <si>
    <t>Ombudsman Commission Budget (revised )</t>
  </si>
  <si>
    <t>combating corruption ( progam of department of finance)</t>
  </si>
  <si>
    <t>Police (Actual budget)</t>
  </si>
  <si>
    <t>Police (revised estimation budget)</t>
  </si>
  <si>
    <t>National Anti-Corruption Strategy Taskforce (Operation Sweep)/ICAC Budget Estimation</t>
  </si>
  <si>
    <t>National Anti-Corruption Strategy Taskforce (Operation Sweep)/ICAC Estimated actuals</t>
  </si>
  <si>
    <t>Attorney General Budtet (Estimation)</t>
  </si>
  <si>
    <t>Attorney General Budget (Actual)</t>
  </si>
  <si>
    <t>Attorney General Budget (Revised)</t>
  </si>
  <si>
    <t>Financial Intelligence Unit (budget)</t>
  </si>
  <si>
    <t>Financial Intelligence Unit (actual)</t>
  </si>
  <si>
    <t>Ombudsman Commission</t>
  </si>
  <si>
    <t>Real 2016 prices</t>
  </si>
  <si>
    <t>Years</t>
  </si>
  <si>
    <t>Budgeted</t>
  </si>
  <si>
    <t>Actual</t>
  </si>
  <si>
    <t>National Fraud and Corruption</t>
  </si>
  <si>
    <t>Attorney General</t>
  </si>
  <si>
    <t>AC Actual(solid)/Budgeted (dashed)</t>
  </si>
  <si>
    <t>RPNGC Budgeted</t>
  </si>
  <si>
    <t>RPNGC Actual</t>
  </si>
  <si>
    <t>National Anti-Corruption Strategy Taskforce</t>
  </si>
  <si>
    <t>Financial Intellegence Unit (FIU)</t>
  </si>
  <si>
    <t>Deflator</t>
  </si>
  <si>
    <t>Deflator value for 2016 price calc</t>
  </si>
  <si>
    <t>TOTAL BUDGET (nominal)</t>
  </si>
  <si>
    <t>Control of Corruption (right hand)</t>
  </si>
  <si>
    <t>World Bank WGI</t>
  </si>
  <si>
    <t>http://info.worldbank.org/governance/wgi/index.aspx#reports</t>
  </si>
  <si>
    <t>Corruption Perceptions score (left hand)</t>
  </si>
  <si>
    <t>TOTAL Budget 2016 price</t>
  </si>
  <si>
    <t>Total budget</t>
  </si>
  <si>
    <t>Anti-corruption</t>
  </si>
  <si>
    <t>Fraud and Corruption Actual</t>
  </si>
  <si>
    <t>Actual vs Budgeted</t>
  </si>
  <si>
    <t xml:space="preserve">Anti-corruption Spending as Proportion of National Budget minus provincial expenses </t>
  </si>
  <si>
    <t>Total</t>
  </si>
  <si>
    <t xml:space="preserve">Source: Fox, R 2017, PNG Budget Data Base, </t>
  </si>
  <si>
    <t>https://devpolicy.crawford.anu.edu.au/png-project/png-budget-database</t>
  </si>
  <si>
    <t>CPI Deflator value</t>
  </si>
  <si>
    <t>FIU</t>
  </si>
  <si>
    <t>This is included in overall figures anti-corruption figures</t>
  </si>
  <si>
    <t>Includes actual spending from FBO 2016</t>
  </si>
  <si>
    <t>Comments</t>
  </si>
  <si>
    <t>For all spending and budget figures see http://www.treasury.gov.pg/</t>
  </si>
  <si>
    <t>PNG's Spending on Anti-corruption (Million Kina)</t>
  </si>
  <si>
    <t>Police Band (actual) in real 2016 kina</t>
  </si>
  <si>
    <t xml:space="preserve">Office of Auditor General </t>
  </si>
  <si>
    <t>Control of Corruption vs Corruption Perceptions</t>
  </si>
  <si>
    <t>Ombudsman Commission Actual</t>
  </si>
  <si>
    <t>Auditor General Actual</t>
  </si>
  <si>
    <t xml:space="preserve">ITFS/ICAC Actual </t>
  </si>
  <si>
    <t>Actual Funding for 5 AC Organisations</t>
  </si>
  <si>
    <t>Last two years budgeted figures; others spending</t>
  </si>
  <si>
    <t>Anti-corruption Spending as Proportion of National Budget Minus Provincial Expenses (PROVINCIAL GOVERNMENTS + BOUGAINVILLE)</t>
  </si>
  <si>
    <t>Police/RPNGC (estimation budget)</t>
  </si>
  <si>
    <t>Department of Police /RPNGC</t>
  </si>
  <si>
    <t>TOTAL BUDGET (Nominal) Minus Provincial Government Expenses</t>
  </si>
  <si>
    <t>Anti-corruption Spending as Proportion of Budget (2016 prices)</t>
  </si>
  <si>
    <r>
      <t xml:space="preserve">Fraud Squad </t>
    </r>
    <r>
      <rPr>
        <sz val="11"/>
        <rFont val="Arial"/>
        <family val="2"/>
      </rPr>
      <t>(National Fraud and Corruption) Estimation budget</t>
    </r>
  </si>
  <si>
    <r>
      <t xml:space="preserve">Fraud Squad </t>
    </r>
    <r>
      <rPr>
        <sz val="11"/>
        <rFont val="Arial"/>
        <family val="2"/>
      </rPr>
      <t>(National Fraud and Corruption) Actual</t>
    </r>
  </si>
  <si>
    <t xml:space="preserve">Ombudsman Commission Budget (Estimation) </t>
  </si>
  <si>
    <t>OC/Fraud/Auditor Gen/Sweep/FIU</t>
  </si>
  <si>
    <t>Provincial Govts expenses</t>
  </si>
  <si>
    <t>Bougainville</t>
  </si>
  <si>
    <t>Provincial Governments + Bougainville Expneses</t>
  </si>
  <si>
    <t>Budgeted (except OC &amp; AG)</t>
  </si>
  <si>
    <t xml:space="preserve">Auditor-General Budget (Estimation) </t>
  </si>
  <si>
    <t>Auditor-General  Budget (Actual)</t>
  </si>
  <si>
    <t>Auditor-General Budget (Revised Budget)</t>
  </si>
  <si>
    <t>By Dr Grant Walton and Husnia Hushang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</si>
</sst>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0;[Red]0.00"/>
    <numFmt numFmtId="166" formatCode="#,##0.0"/>
    <numFmt numFmtId="167" formatCode="0.0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i/>
      <sz val="8"/>
      <color rgb="FF000000"/>
      <name val="Arial"/>
      <family val="2"/>
    </font>
    <font>
      <sz val="9"/>
      <color rgb="FF00000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FF0000"/>
      <name val="Calibri Light"/>
      <family val="2"/>
    </font>
    <font>
      <b/>
      <sz val="11"/>
      <name val="Calibri Light"/>
      <family val="2"/>
    </font>
    <font>
      <sz val="11"/>
      <name val="Arial"/>
      <family val="2"/>
    </font>
    <font>
      <b/>
      <i/>
      <sz val="16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Helvetica Neue"/>
    </font>
    <font>
      <sz val="11"/>
      <color rgb="FF505050"/>
      <name val="Arial"/>
      <family val="2"/>
    </font>
    <font>
      <b/>
      <sz val="11"/>
      <name val="Helvetica Neue"/>
    </font>
    <font>
      <sz val="11"/>
      <name val="Helvetica Neue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0CFD8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13D8A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/>
    <xf numFmtId="0" fontId="1" fillId="0" borderId="0" xfId="0" applyFont="1" applyFill="1" applyBorder="1"/>
    <xf numFmtId="0" fontId="3" fillId="0" borderId="0" xfId="1"/>
    <xf numFmtId="4" fontId="0" fillId="0" borderId="0" xfId="0" applyNumberFormat="1"/>
    <xf numFmtId="0" fontId="0" fillId="0" borderId="0" xfId="0" applyFill="1"/>
    <xf numFmtId="0" fontId="1" fillId="3" borderId="0" xfId="0" applyFont="1" applyFill="1" applyBorder="1"/>
    <xf numFmtId="4" fontId="1" fillId="0" borderId="0" xfId="0" applyNumberFormat="1" applyFont="1"/>
    <xf numFmtId="0" fontId="4" fillId="0" borderId="0" xfId="0" applyFont="1"/>
    <xf numFmtId="4" fontId="2" fillId="0" borderId="0" xfId="0" applyNumberFormat="1" applyFont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0" fontId="8" fillId="0" borderId="0" xfId="0" applyFont="1"/>
    <xf numFmtId="4" fontId="1" fillId="0" borderId="0" xfId="0" applyNumberFormat="1" applyFont="1" applyFill="1"/>
    <xf numFmtId="0" fontId="0" fillId="0" borderId="0" xfId="0" applyFont="1"/>
    <xf numFmtId="0" fontId="0" fillId="0" borderId="0" xfId="0" applyFont="1" applyFill="1" applyBorder="1" applyAlignment="1">
      <alignment wrapText="1"/>
    </xf>
    <xf numFmtId="0" fontId="1" fillId="4" borderId="1" xfId="0" applyFont="1" applyFill="1" applyBorder="1"/>
    <xf numFmtId="0" fontId="1" fillId="5" borderId="1" xfId="0" applyFont="1" applyFill="1" applyBorder="1"/>
    <xf numFmtId="0" fontId="1" fillId="3" borderId="1" xfId="0" applyFont="1" applyFill="1" applyBorder="1"/>
    <xf numFmtId="0" fontId="1" fillId="0" borderId="0" xfId="0" applyFont="1" applyFill="1"/>
    <xf numFmtId="0" fontId="1" fillId="7" borderId="1" xfId="0" applyFont="1" applyFill="1" applyBorder="1"/>
    <xf numFmtId="0" fontId="1" fillId="8" borderId="1" xfId="0" applyFont="1" applyFill="1" applyBorder="1"/>
    <xf numFmtId="0" fontId="1" fillId="6" borderId="1" xfId="0" applyFont="1" applyFill="1" applyBorder="1"/>
    <xf numFmtId="0" fontId="0" fillId="0" borderId="0" xfId="0" applyFill="1" applyBorder="1"/>
    <xf numFmtId="0" fontId="1" fillId="10" borderId="1" xfId="0" applyFont="1" applyFill="1" applyBorder="1"/>
    <xf numFmtId="164" fontId="0" fillId="10" borderId="1" xfId="2" applyNumberFormat="1" applyFont="1" applyFill="1" applyBorder="1"/>
    <xf numFmtId="0" fontId="1" fillId="9" borderId="1" xfId="0" applyFont="1" applyFill="1" applyBorder="1"/>
    <xf numFmtId="0" fontId="1" fillId="0" borderId="0" xfId="0" applyFont="1" applyAlignment="1"/>
    <xf numFmtId="3" fontId="0" fillId="0" borderId="0" xfId="0" applyNumberFormat="1" applyFill="1" applyBorder="1"/>
    <xf numFmtId="0" fontId="1" fillId="2" borderId="1" xfId="0" applyFont="1" applyFill="1" applyBorder="1"/>
    <xf numFmtId="0" fontId="7" fillId="0" borderId="0" xfId="0" applyFont="1" applyBorder="1" applyAlignment="1">
      <alignment wrapText="1"/>
    </xf>
    <xf numFmtId="0" fontId="0" fillId="2" borderId="1" xfId="0" applyFont="1" applyFill="1" applyBorder="1"/>
    <xf numFmtId="164" fontId="0" fillId="0" borderId="0" xfId="2" applyNumberFormat="1" applyFont="1" applyFill="1" applyBorder="1"/>
    <xf numFmtId="3" fontId="4" fillId="0" borderId="0" xfId="0" applyNumberFormat="1" applyFont="1" applyFill="1" applyBorder="1"/>
    <xf numFmtId="167" fontId="0" fillId="9" borderId="1" xfId="2" applyNumberFormat="1" applyFont="1" applyFill="1" applyBorder="1"/>
    <xf numFmtId="164" fontId="0" fillId="9" borderId="1" xfId="2" applyNumberFormat="1" applyFont="1" applyFill="1" applyBorder="1"/>
    <xf numFmtId="0" fontId="13" fillId="0" borderId="0" xfId="0" applyFont="1"/>
    <xf numFmtId="3" fontId="14" fillId="4" borderId="0" xfId="0" applyNumberFormat="1" applyFont="1" applyFill="1"/>
    <xf numFmtId="0" fontId="1" fillId="11" borderId="1" xfId="0" applyFont="1" applyFill="1" applyBorder="1"/>
    <xf numFmtId="0" fontId="1" fillId="12" borderId="1" xfId="0" applyFont="1" applyFill="1" applyBorder="1"/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0" fillId="0" borderId="0" xfId="0" applyBorder="1"/>
    <xf numFmtId="9" fontId="4" fillId="8" borderId="1" xfId="0" applyNumberFormat="1" applyFont="1" applyFill="1" applyBorder="1"/>
    <xf numFmtId="9" fontId="4" fillId="8" borderId="1" xfId="2" applyFont="1" applyFill="1" applyBorder="1"/>
    <xf numFmtId="0" fontId="14" fillId="8" borderId="1" xfId="0" applyFont="1" applyFill="1" applyBorder="1"/>
    <xf numFmtId="0" fontId="4" fillId="0" borderId="0" xfId="0" applyFont="1" applyFill="1"/>
    <xf numFmtId="4" fontId="16" fillId="0" borderId="0" xfId="0" applyNumberFormat="1" applyFont="1"/>
    <xf numFmtId="4" fontId="0" fillId="0" borderId="0" xfId="0" applyNumberFormat="1" applyFill="1" applyBorder="1"/>
    <xf numFmtId="0" fontId="17" fillId="0" borderId="0" xfId="0" applyFont="1"/>
    <xf numFmtId="3" fontId="1" fillId="0" borderId="0" xfId="0" applyNumberFormat="1" applyFont="1" applyFill="1" applyBorder="1"/>
    <xf numFmtId="4" fontId="1" fillId="0" borderId="0" xfId="0" applyNumberFormat="1" applyFont="1" applyFill="1" applyBorder="1"/>
    <xf numFmtId="0" fontId="1" fillId="14" borderId="1" xfId="0" applyFont="1" applyFill="1" applyBorder="1"/>
    <xf numFmtId="0" fontId="18" fillId="0" borderId="0" xfId="0" applyFont="1"/>
    <xf numFmtId="9" fontId="14" fillId="8" borderId="1" xfId="0" applyNumberFormat="1" applyFont="1" applyFill="1" applyBorder="1"/>
    <xf numFmtId="9" fontId="14" fillId="8" borderId="1" xfId="2" applyFont="1" applyFill="1" applyBorder="1"/>
    <xf numFmtId="9" fontId="14" fillId="8" borderId="2" xfId="2" applyFont="1" applyFill="1" applyBorder="1"/>
    <xf numFmtId="0" fontId="20" fillId="0" borderId="0" xfId="0" applyFont="1"/>
    <xf numFmtId="0" fontId="1" fillId="0" borderId="0" xfId="0" applyFont="1" applyAlignment="1">
      <alignment wrapText="1"/>
    </xf>
    <xf numFmtId="0" fontId="15" fillId="0" borderId="0" xfId="0" applyFont="1" applyFill="1" applyBorder="1"/>
    <xf numFmtId="164" fontId="1" fillId="0" borderId="0" xfId="2" applyNumberFormat="1" applyFont="1" applyFill="1" applyBorder="1"/>
    <xf numFmtId="0" fontId="0" fillId="4" borderId="1" xfId="0" applyFont="1" applyFill="1" applyBorder="1" applyAlignment="1"/>
    <xf numFmtId="0" fontId="0" fillId="4" borderId="1" xfId="0" applyFont="1" applyFill="1" applyBorder="1"/>
    <xf numFmtId="166" fontId="4" fillId="5" borderId="1" xfId="0" applyNumberFormat="1" applyFont="1" applyFill="1" applyBorder="1"/>
    <xf numFmtId="166" fontId="4" fillId="4" borderId="1" xfId="0" applyNumberFormat="1" applyFont="1" applyFill="1" applyBorder="1"/>
    <xf numFmtId="166" fontId="14" fillId="4" borderId="1" xfId="0" applyNumberFormat="1" applyFont="1" applyFill="1" applyBorder="1"/>
    <xf numFmtId="0" fontId="1" fillId="0" borderId="0" xfId="0" applyFont="1" applyFill="1" applyAlignment="1"/>
    <xf numFmtId="0" fontId="0" fillId="3" borderId="1" xfId="0" applyFont="1" applyFill="1" applyBorder="1"/>
    <xf numFmtId="0" fontId="0" fillId="8" borderId="1" xfId="0" applyFont="1" applyFill="1" applyBorder="1" applyAlignment="1"/>
    <xf numFmtId="0" fontId="0" fillId="6" borderId="1" xfId="0" applyFont="1" applyFill="1" applyBorder="1" applyAlignment="1"/>
    <xf numFmtId="0" fontId="15" fillId="0" borderId="0" xfId="0" applyFont="1" applyBorder="1" applyAlignment="1">
      <alignment wrapText="1"/>
    </xf>
    <xf numFmtId="4" fontId="14" fillId="0" borderId="0" xfId="0" applyNumberFormat="1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14" fillId="6" borderId="0" xfId="0" applyFont="1" applyFill="1" applyBorder="1" applyAlignment="1">
      <alignment wrapText="1"/>
    </xf>
    <xf numFmtId="0" fontId="0" fillId="6" borderId="0" xfId="0" applyFont="1" applyFill="1" applyBorder="1" applyAlignment="1">
      <alignment wrapText="1"/>
    </xf>
    <xf numFmtId="4" fontId="0" fillId="6" borderId="0" xfId="0" applyNumberFormat="1" applyFont="1" applyFill="1" applyBorder="1" applyAlignment="1">
      <alignment wrapText="1"/>
    </xf>
    <xf numFmtId="166" fontId="0" fillId="6" borderId="0" xfId="0" applyNumberFormat="1" applyFont="1" applyFill="1" applyBorder="1" applyAlignment="1">
      <alignment wrapText="1"/>
    </xf>
    <xf numFmtId="0" fontId="14" fillId="0" borderId="0" xfId="0" applyFont="1" applyBorder="1" applyAlignment="1">
      <alignment horizontal="left" wrapText="1"/>
    </xf>
    <xf numFmtId="3" fontId="0" fillId="6" borderId="0" xfId="0" applyNumberFormat="1" applyFont="1" applyFill="1" applyBorder="1" applyAlignment="1">
      <alignment wrapText="1"/>
    </xf>
    <xf numFmtId="0" fontId="14" fillId="0" borderId="0" xfId="0" applyFont="1" applyBorder="1" applyAlignment="1">
      <alignment wrapText="1"/>
    </xf>
    <xf numFmtId="0" fontId="21" fillId="2" borderId="0" xfId="0" applyFont="1" applyFill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14" fillId="4" borderId="0" xfId="0" applyFont="1" applyFill="1" applyBorder="1" applyAlignment="1">
      <alignment wrapText="1"/>
    </xf>
    <xf numFmtId="3" fontId="0" fillId="4" borderId="0" xfId="0" applyNumberFormat="1" applyFont="1" applyFill="1"/>
    <xf numFmtId="4" fontId="0" fillId="4" borderId="0" xfId="0" applyNumberFormat="1" applyFont="1" applyFill="1"/>
    <xf numFmtId="3" fontId="0" fillId="4" borderId="0" xfId="0" applyNumberFormat="1" applyFont="1" applyFill="1" applyBorder="1" applyAlignment="1">
      <alignment wrapText="1"/>
    </xf>
    <xf numFmtId="2" fontId="0" fillId="4" borderId="0" xfId="0" applyNumberFormat="1" applyFont="1" applyFill="1"/>
    <xf numFmtId="0" fontId="0" fillId="4" borderId="0" xfId="0" applyFont="1" applyFill="1"/>
    <xf numFmtId="0" fontId="14" fillId="8" borderId="0" xfId="0" applyFont="1" applyFill="1" applyBorder="1" applyAlignment="1">
      <alignment wrapText="1"/>
    </xf>
    <xf numFmtId="0" fontId="0" fillId="8" borderId="0" xfId="0" applyFont="1" applyFill="1"/>
    <xf numFmtId="4" fontId="0" fillId="8" borderId="0" xfId="0" applyNumberFormat="1" applyFont="1" applyFill="1"/>
    <xf numFmtId="0" fontId="14" fillId="11" borderId="0" xfId="0" applyFont="1" applyFill="1" applyBorder="1" applyAlignment="1">
      <alignment wrapText="1"/>
    </xf>
    <xf numFmtId="3" fontId="0" fillId="11" borderId="0" xfId="0" applyNumberFormat="1" applyFont="1" applyFill="1"/>
    <xf numFmtId="4" fontId="0" fillId="11" borderId="0" xfId="0" applyNumberFormat="1" applyFont="1" applyFill="1"/>
    <xf numFmtId="0" fontId="14" fillId="7" borderId="0" xfId="0" applyFont="1" applyFill="1" applyBorder="1" applyAlignment="1">
      <alignment wrapText="1"/>
    </xf>
    <xf numFmtId="4" fontId="0" fillId="7" borderId="0" xfId="0" applyNumberFormat="1" applyFont="1" applyFill="1"/>
    <xf numFmtId="0" fontId="0" fillId="7" borderId="0" xfId="0" applyFont="1" applyFill="1"/>
    <xf numFmtId="2" fontId="0" fillId="7" borderId="0" xfId="0" applyNumberFormat="1" applyFont="1" applyFill="1"/>
    <xf numFmtId="3" fontId="0" fillId="7" borderId="0" xfId="0" applyNumberFormat="1" applyFont="1" applyFill="1"/>
    <xf numFmtId="0" fontId="14" fillId="5" borderId="0" xfId="0" applyFont="1" applyFill="1" applyBorder="1" applyAlignment="1">
      <alignment wrapText="1"/>
    </xf>
    <xf numFmtId="3" fontId="0" fillId="5" borderId="0" xfId="0" applyNumberFormat="1" applyFont="1" applyFill="1"/>
    <xf numFmtId="2" fontId="0" fillId="5" borderId="0" xfId="0" applyNumberFormat="1" applyFont="1" applyFill="1"/>
    <xf numFmtId="4" fontId="0" fillId="5" borderId="0" xfId="0" applyNumberFormat="1" applyFont="1" applyFill="1"/>
    <xf numFmtId="0" fontId="0" fillId="5" borderId="0" xfId="0" applyFont="1" applyFill="1"/>
    <xf numFmtId="0" fontId="14" fillId="12" borderId="0" xfId="0" applyFont="1" applyFill="1" applyBorder="1" applyAlignment="1">
      <alignment wrapText="1"/>
    </xf>
    <xf numFmtId="3" fontId="0" fillId="12" borderId="0" xfId="0" applyNumberFormat="1" applyFont="1" applyFill="1"/>
    <xf numFmtId="0" fontId="0" fillId="12" borderId="0" xfId="0" applyFont="1" applyFill="1"/>
    <xf numFmtId="0" fontId="22" fillId="12" borderId="0" xfId="0" applyFont="1" applyFill="1" applyBorder="1" applyAlignment="1">
      <alignment vertical="center" wrapText="1"/>
    </xf>
    <xf numFmtId="3" fontId="0" fillId="12" borderId="0" xfId="0" applyNumberFormat="1" applyFont="1" applyFill="1" applyBorder="1"/>
    <xf numFmtId="0" fontId="0" fillId="12" borderId="0" xfId="0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6" borderId="1" xfId="0" applyFont="1" applyFill="1" applyBorder="1"/>
    <xf numFmtId="166" fontId="0" fillId="6" borderId="1" xfId="0" applyNumberFormat="1" applyFont="1" applyFill="1" applyBorder="1"/>
    <xf numFmtId="0" fontId="0" fillId="8" borderId="1" xfId="0" applyFont="1" applyFill="1" applyBorder="1"/>
    <xf numFmtId="4" fontId="0" fillId="8" borderId="1" xfId="0" applyNumberFormat="1" applyFont="1" applyFill="1" applyBorder="1"/>
    <xf numFmtId="0" fontId="0" fillId="0" borderId="0" xfId="0" applyFont="1" applyFill="1"/>
    <xf numFmtId="0" fontId="0" fillId="0" borderId="0" xfId="0" applyFont="1" applyFill="1" applyAlignment="1"/>
    <xf numFmtId="4" fontId="0" fillId="0" borderId="0" xfId="0" applyNumberFormat="1" applyFont="1" applyFill="1"/>
    <xf numFmtId="165" fontId="0" fillId="0" borderId="0" xfId="0" applyNumberFormat="1" applyFont="1" applyAlignment="1">
      <alignment horizontal="left"/>
    </xf>
    <xf numFmtId="0" fontId="0" fillId="7" borderId="1" xfId="0" applyFont="1" applyFill="1" applyBorder="1"/>
    <xf numFmtId="166" fontId="0" fillId="7" borderId="1" xfId="0" applyNumberFormat="1" applyFont="1" applyFill="1" applyBorder="1"/>
    <xf numFmtId="0" fontId="0" fillId="0" borderId="0" xfId="0" applyFont="1" applyFill="1" applyBorder="1" applyAlignment="1">
      <alignment horizontal="center" wrapText="1"/>
    </xf>
    <xf numFmtId="166" fontId="0" fillId="3" borderId="1" xfId="0" applyNumberFormat="1" applyFont="1" applyFill="1" applyBorder="1"/>
    <xf numFmtId="0" fontId="0" fillId="5" borderId="1" xfId="0" applyFont="1" applyFill="1" applyBorder="1"/>
    <xf numFmtId="166" fontId="0" fillId="5" borderId="1" xfId="0" applyNumberFormat="1" applyFont="1" applyFill="1" applyBorder="1"/>
    <xf numFmtId="0" fontId="0" fillId="0" borderId="0" xfId="0" applyFont="1" applyFill="1" applyBorder="1"/>
    <xf numFmtId="3" fontId="0" fillId="0" borderId="0" xfId="0" applyNumberFormat="1" applyFont="1" applyFill="1" applyBorder="1"/>
    <xf numFmtId="166" fontId="0" fillId="4" borderId="1" xfId="0" applyNumberFormat="1" applyFont="1" applyFill="1" applyBorder="1"/>
    <xf numFmtId="0" fontId="0" fillId="11" borderId="1" xfId="0" applyFont="1" applyFill="1" applyBorder="1"/>
    <xf numFmtId="166" fontId="0" fillId="11" borderId="1" xfId="0" applyNumberFormat="1" applyFont="1" applyFill="1" applyBorder="1"/>
    <xf numFmtId="0" fontId="0" fillId="12" borderId="1" xfId="0" applyFont="1" applyFill="1" applyBorder="1"/>
    <xf numFmtId="3" fontId="0" fillId="12" borderId="1" xfId="0" applyNumberFormat="1" applyFont="1" applyFill="1" applyBorder="1"/>
    <xf numFmtId="4" fontId="0" fillId="12" borderId="1" xfId="0" applyNumberFormat="1" applyFont="1" applyFill="1" applyBorder="1"/>
    <xf numFmtId="4" fontId="0" fillId="0" borderId="0" xfId="0" applyNumberFormat="1" applyFont="1" applyFill="1" applyBorder="1"/>
    <xf numFmtId="0" fontId="23" fillId="0" borderId="0" xfId="0" applyFont="1" applyFill="1"/>
    <xf numFmtId="0" fontId="24" fillId="2" borderId="1" xfId="0" applyFont="1" applyFill="1" applyBorder="1"/>
    <xf numFmtId="0" fontId="0" fillId="9" borderId="1" xfId="0" applyFont="1" applyFill="1" applyBorder="1"/>
    <xf numFmtId="0" fontId="0" fillId="0" borderId="0" xfId="0" applyFont="1" applyAlignment="1"/>
    <xf numFmtId="0" fontId="0" fillId="10" borderId="1" xfId="0" applyFont="1" applyFill="1" applyBorder="1" applyAlignment="1"/>
    <xf numFmtId="0" fontId="0" fillId="10" borderId="1" xfId="0" applyFont="1" applyFill="1" applyBorder="1"/>
    <xf numFmtId="164" fontId="0" fillId="10" borderId="1" xfId="0" applyNumberFormat="1" applyFont="1" applyFill="1" applyBorder="1"/>
    <xf numFmtId="164" fontId="0" fillId="0" borderId="0" xfId="0" applyNumberFormat="1" applyFont="1" applyFill="1" applyBorder="1"/>
    <xf numFmtId="0" fontId="0" fillId="9" borderId="1" xfId="0" applyFont="1" applyFill="1" applyBorder="1" applyAlignment="1"/>
    <xf numFmtId="167" fontId="0" fillId="9" borderId="1" xfId="0" applyNumberFormat="1" applyFont="1" applyFill="1" applyBorder="1"/>
    <xf numFmtId="164" fontId="0" fillId="9" borderId="1" xfId="0" applyNumberFormat="1" applyFont="1" applyFill="1" applyBorder="1"/>
    <xf numFmtId="167" fontId="0" fillId="11" borderId="1" xfId="0" applyNumberFormat="1" applyFont="1" applyFill="1" applyBorder="1"/>
    <xf numFmtId="0" fontId="0" fillId="0" borderId="0" xfId="0" applyFont="1" applyBorder="1"/>
    <xf numFmtId="167" fontId="0" fillId="0" borderId="0" xfId="0" applyNumberFormat="1" applyFont="1" applyFill="1" applyBorder="1"/>
    <xf numFmtId="0" fontId="0" fillId="14" borderId="1" xfId="0" applyFont="1" applyFill="1" applyBorder="1"/>
    <xf numFmtId="3" fontId="0" fillId="14" borderId="1" xfId="0" applyNumberFormat="1" applyFont="1" applyFill="1" applyBorder="1"/>
    <xf numFmtId="164" fontId="0" fillId="14" borderId="1" xfId="2" applyNumberFormat="1" applyFont="1" applyFill="1" applyBorder="1"/>
    <xf numFmtId="166" fontId="0" fillId="9" borderId="1" xfId="0" applyNumberFormat="1" applyFont="1" applyFill="1" applyBorder="1"/>
    <xf numFmtId="166" fontId="26" fillId="9" borderId="3" xfId="0" applyNumberFormat="1" applyFont="1" applyFill="1" applyBorder="1" applyAlignment="1">
      <alignment horizontal="right" wrapText="1"/>
    </xf>
    <xf numFmtId="166" fontId="25" fillId="0" borderId="0" xfId="0" applyNumberFormat="1" applyFont="1" applyFill="1" applyBorder="1" applyAlignment="1">
      <alignment horizontal="right" wrapText="1"/>
    </xf>
    <xf numFmtId="0" fontId="15" fillId="13" borderId="1" xfId="0" applyFont="1" applyFill="1" applyBorder="1"/>
    <xf numFmtId="3" fontId="15" fillId="13" borderId="1" xfId="0" applyNumberFormat="1" applyFont="1" applyFill="1" applyBorder="1"/>
    <xf numFmtId="167" fontId="26" fillId="13" borderId="1" xfId="0" applyNumberFormat="1" applyFont="1" applyFill="1" applyBorder="1" applyAlignment="1">
      <alignment horizontal="right"/>
    </xf>
    <xf numFmtId="166" fontId="26" fillId="13" borderId="1" xfId="0" applyNumberFormat="1" applyFont="1" applyFill="1" applyBorder="1" applyAlignment="1">
      <alignment horizontal="right"/>
    </xf>
    <xf numFmtId="3" fontId="14" fillId="13" borderId="1" xfId="0" applyNumberFormat="1" applyFont="1" applyFill="1" applyBorder="1"/>
    <xf numFmtId="0" fontId="3" fillId="0" borderId="0" xfId="1" applyFont="1"/>
    <xf numFmtId="4" fontId="14" fillId="13" borderId="1" xfId="0" applyNumberFormat="1" applyFont="1" applyFill="1" applyBorder="1"/>
    <xf numFmtId="4" fontId="0" fillId="9" borderId="1" xfId="0" applyNumberFormat="1" applyFont="1" applyFill="1" applyBorder="1"/>
    <xf numFmtId="0" fontId="15" fillId="0" borderId="0" xfId="0" applyFont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FF"/>
      <color rgb="FF90CFD8"/>
      <color rgb="FFF13D8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Ombudsman Commission</a:t>
            </a:r>
          </a:p>
        </c:rich>
      </c:tx>
      <c:layout>
        <c:manualLayout>
          <c:xMode val="edge"/>
          <c:yMode val="edge"/>
          <c:x val="0.28352359728618831"/>
          <c:y val="2.777777777777786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Tables!$D$33</c:f>
              <c:strCache>
                <c:ptCount val="1"/>
                <c:pt idx="0">
                  <c:v>Budgeted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Tables!$E$32:$N$32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Tables!$E$33:$N$33</c:f>
              <c:numCache>
                <c:formatCode>#,##0.0</c:formatCode>
                <c:ptCount val="10"/>
                <c:pt idx="0">
                  <c:v>17.51836492316642</c:v>
                </c:pt>
                <c:pt idx="1">
                  <c:v>20.004651793345321</c:v>
                </c:pt>
                <c:pt idx="2">
                  <c:v>19.033480554776645</c:v>
                </c:pt>
                <c:pt idx="3">
                  <c:v>19.135389894216832</c:v>
                </c:pt>
                <c:pt idx="4">
                  <c:v>21.751769601732239</c:v>
                </c:pt>
                <c:pt idx="5">
                  <c:v>21.430074255468931</c:v>
                </c:pt>
                <c:pt idx="6">
                  <c:v>20.354013365250708</c:v>
                </c:pt>
                <c:pt idx="7">
                  <c:v>23.508665786282538</c:v>
                </c:pt>
                <c:pt idx="8">
                  <c:v>20.350200000000001</c:v>
                </c:pt>
                <c:pt idx="9">
                  <c:v>17.794663970190463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006-44C9-91D6-74C7B3D5257E}"/>
            </c:ext>
          </c:extLst>
        </c:ser>
        <c:ser>
          <c:idx val="1"/>
          <c:order val="1"/>
          <c:tx>
            <c:strRef>
              <c:f>Tables!$D$34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Tables!$E$32:$N$32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Tables!$E$34:$N$34</c:f>
              <c:numCache>
                <c:formatCode>#,##0.0</c:formatCode>
                <c:ptCount val="10"/>
                <c:pt idx="0">
                  <c:v>18.116883669106599</c:v>
                </c:pt>
                <c:pt idx="1">
                  <c:v>20.004651793345321</c:v>
                </c:pt>
                <c:pt idx="2">
                  <c:v>19.033480554776645</c:v>
                </c:pt>
                <c:pt idx="3">
                  <c:v>19.135389894216832</c:v>
                </c:pt>
                <c:pt idx="4">
                  <c:v>21.751769601732239</c:v>
                </c:pt>
                <c:pt idx="5">
                  <c:v>21.426525250623971</c:v>
                </c:pt>
                <c:pt idx="6">
                  <c:v>20.900082948221275</c:v>
                </c:pt>
                <c:pt idx="7">
                  <c:v>20.398627666661607</c:v>
                </c:pt>
                <c:pt idx="8">
                  <c:v>18.600995000000001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006-44C9-91D6-74C7B3D52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745520"/>
        <c:axId val="181746080"/>
      </c:lineChart>
      <c:catAx>
        <c:axId val="18174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746080"/>
        <c:crosses val="autoZero"/>
        <c:auto val="1"/>
        <c:lblAlgn val="ctr"/>
        <c:lblOffset val="100"/>
        <c:noMultiLvlLbl val="0"/>
      </c:catAx>
      <c:valAx>
        <c:axId val="18174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74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Attorney General compared to AC spending/allocations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Tables!$D$53</c:f>
              <c:strCache>
                <c:ptCount val="1"/>
                <c:pt idx="0">
                  <c:v>Budgeted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Tables!$E$52:$N$52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Tables!$E$53:$N$53</c:f>
              <c:numCache>
                <c:formatCode>#,##0.0</c:formatCode>
                <c:ptCount val="10"/>
                <c:pt idx="0">
                  <c:v>49.089505186872856</c:v>
                </c:pt>
                <c:pt idx="1">
                  <c:v>47.912850844360626</c:v>
                </c:pt>
                <c:pt idx="2">
                  <c:v>44.336893272362545</c:v>
                </c:pt>
                <c:pt idx="3">
                  <c:v>142.56657262524837</c:v>
                </c:pt>
                <c:pt idx="4">
                  <c:v>175.50541582126058</c:v>
                </c:pt>
                <c:pt idx="5">
                  <c:v>149.48881607607376</c:v>
                </c:pt>
                <c:pt idx="6">
                  <c:v>129.0330963760434</c:v>
                </c:pt>
                <c:pt idx="7">
                  <c:v>184.04874872116616</c:v>
                </c:pt>
                <c:pt idx="8">
                  <c:v>159.40010000000001</c:v>
                </c:pt>
                <c:pt idx="9">
                  <c:v>152.539024504374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E95-4758-B340-966A4F57152F}"/>
            </c:ext>
          </c:extLst>
        </c:ser>
        <c:ser>
          <c:idx val="1"/>
          <c:order val="1"/>
          <c:tx>
            <c:strRef>
              <c:f>Tables!$D$54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Tables!$E$52:$N$52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Tables!$E$54:$N$54</c:f>
              <c:numCache>
                <c:formatCode>#,##0.0</c:formatCode>
                <c:ptCount val="10"/>
                <c:pt idx="0">
                  <c:v>58.304165136458394</c:v>
                </c:pt>
                <c:pt idx="1">
                  <c:v>50.570163920898295</c:v>
                </c:pt>
                <c:pt idx="2">
                  <c:v>52.956728226742314</c:v>
                </c:pt>
                <c:pt idx="3">
                  <c:v>148.27655635504487</c:v>
                </c:pt>
                <c:pt idx="4">
                  <c:v>84.697551551167905</c:v>
                </c:pt>
                <c:pt idx="5">
                  <c:v>118.82068220918021</c:v>
                </c:pt>
                <c:pt idx="6">
                  <c:v>111.97853430789777</c:v>
                </c:pt>
                <c:pt idx="7">
                  <c:v>115.02159045609633</c:v>
                </c:pt>
                <c:pt idx="8">
                  <c:v>129.261428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95-4758-B340-966A4F57152F}"/>
            </c:ext>
          </c:extLst>
        </c:ser>
        <c:ser>
          <c:idx val="2"/>
          <c:order val="2"/>
          <c:tx>
            <c:strRef>
              <c:f>Tables!$D$55</c:f>
              <c:strCache>
                <c:ptCount val="1"/>
                <c:pt idx="0">
                  <c:v>AC Actual(solid)/Budgeted (dashed)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8"/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E95-4758-B340-966A4F57152F}"/>
              </c:ext>
            </c:extLst>
          </c:dPt>
          <c:dPt>
            <c:idx val="9"/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E95-4758-B340-966A4F57152F}"/>
              </c:ext>
            </c:extLst>
          </c:dPt>
          <c:cat>
            <c:numRef>
              <c:f>Tables!$E$52:$N$52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Tables!$E$55:$N$55</c:f>
              <c:numCache>
                <c:formatCode>#,##0.0</c:formatCode>
                <c:ptCount val="10"/>
                <c:pt idx="0">
                  <c:v>42.943605771001998</c:v>
                </c:pt>
                <c:pt idx="1">
                  <c:v>40.493746721287323</c:v>
                </c:pt>
                <c:pt idx="2">
                  <c:v>39.43861891762473</c:v>
                </c:pt>
                <c:pt idx="3">
                  <c:v>48.594181152338521</c:v>
                </c:pt>
                <c:pt idx="4">
                  <c:v>48.2775547169215</c:v>
                </c:pt>
                <c:pt idx="5">
                  <c:v>57.273603587602629</c:v>
                </c:pt>
                <c:pt idx="6">
                  <c:v>44.541974530937985</c:v>
                </c:pt>
                <c:pt idx="7">
                  <c:v>42.66518620394217</c:v>
                </c:pt>
                <c:pt idx="8">
                  <c:v>47.133800000000001</c:v>
                </c:pt>
                <c:pt idx="9">
                  <c:v>38.823613164566176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E95-4758-B340-966A4F571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002736"/>
        <c:axId val="184003296"/>
      </c:lineChart>
      <c:catAx>
        <c:axId val="18400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003296"/>
        <c:crosses val="autoZero"/>
        <c:auto val="1"/>
        <c:lblAlgn val="ctr"/>
        <c:lblOffset val="100"/>
        <c:noMultiLvlLbl val="0"/>
      </c:catAx>
      <c:valAx>
        <c:axId val="18400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00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b="0"/>
              <a:t>Comparison of PNG’s Control of Corruption and CPI score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Tables!$D$91</c:f>
              <c:strCache>
                <c:ptCount val="1"/>
                <c:pt idx="0">
                  <c:v>Corruption Perceptions score (left hand)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Tables!$E$89:$N$89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Tables!$E$91:$N$91</c:f>
              <c:numCache>
                <c:formatCode>0.0%</c:formatCode>
                <c:ptCount val="10"/>
                <c:pt idx="4" formatCode="0.0">
                  <c:v>25</c:v>
                </c:pt>
                <c:pt idx="5" formatCode="0.0">
                  <c:v>25</c:v>
                </c:pt>
                <c:pt idx="6" formatCode="0.0">
                  <c:v>25</c:v>
                </c:pt>
                <c:pt idx="7" formatCode="0.0">
                  <c:v>25</c:v>
                </c:pt>
                <c:pt idx="8" formatCode="0.0">
                  <c:v>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068-4009-874E-2F8C2FDBE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007216"/>
        <c:axId val="184209696"/>
      </c:lineChart>
      <c:lineChart>
        <c:grouping val="standard"/>
        <c:varyColors val="0"/>
        <c:ser>
          <c:idx val="0"/>
          <c:order val="0"/>
          <c:tx>
            <c:strRef>
              <c:f>Tables!$D$90</c:f>
              <c:strCache>
                <c:ptCount val="1"/>
                <c:pt idx="0">
                  <c:v>Control of Corruption (right hand)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Tables!$E$89:$N$89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Tables!$E$90:$N$90</c:f>
              <c:numCache>
                <c:formatCode>0.0</c:formatCode>
                <c:ptCount val="10"/>
                <c:pt idx="0">
                  <c:v>5.34</c:v>
                </c:pt>
                <c:pt idx="1">
                  <c:v>4.78</c:v>
                </c:pt>
                <c:pt idx="2">
                  <c:v>10.95</c:v>
                </c:pt>
                <c:pt idx="3">
                  <c:v>12.32</c:v>
                </c:pt>
                <c:pt idx="4">
                  <c:v>15.64</c:v>
                </c:pt>
                <c:pt idx="5">
                  <c:v>15.17</c:v>
                </c:pt>
                <c:pt idx="6">
                  <c:v>15.38</c:v>
                </c:pt>
                <c:pt idx="7">
                  <c:v>14.42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068-4009-874E-2F8C2FDBE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10256"/>
        <c:axId val="184006096"/>
      </c:lineChart>
      <c:catAx>
        <c:axId val="18400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209696"/>
        <c:crossesAt val="0"/>
        <c:auto val="1"/>
        <c:lblAlgn val="ctr"/>
        <c:lblOffset val="100"/>
        <c:noMultiLvlLbl val="0"/>
      </c:catAx>
      <c:valAx>
        <c:axId val="1842096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007216"/>
        <c:crosses val="autoZero"/>
        <c:crossBetween val="between"/>
      </c:valAx>
      <c:valAx>
        <c:axId val="184006096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210256"/>
        <c:crosses val="max"/>
        <c:crossBetween val="between"/>
      </c:valAx>
      <c:catAx>
        <c:axId val="184210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84006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1800" b="0" i="0" baseline="0">
                <a:effectLst/>
              </a:rPr>
              <a:t>Actual Spending vs Budgeted for Indvidual A/C Organisations</a:t>
            </a:r>
            <a:endParaRPr lang="en-AU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Tables!$D$104</c:f>
              <c:strCache>
                <c:ptCount val="1"/>
                <c:pt idx="0">
                  <c:v>Total budget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Tables!$E$103:$L$103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Tables!$E$104:$L$104</c:f>
              <c:numCache>
                <c:formatCode>0%</c:formatCode>
                <c:ptCount val="8"/>
                <c:pt idx="0">
                  <c:v>1.0784218658429183</c:v>
                </c:pt>
                <c:pt idx="1">
                  <c:v>1.0016289549146489</c:v>
                </c:pt>
                <c:pt idx="2">
                  <c:v>1.080819349100917</c:v>
                </c:pt>
                <c:pt idx="3">
                  <c:v>1.003945556615335</c:v>
                </c:pt>
                <c:pt idx="4">
                  <c:v>0.95187780887469708</c:v>
                </c:pt>
                <c:pt idx="5">
                  <c:v>0.96017309866808154</c:v>
                </c:pt>
                <c:pt idx="6">
                  <c:v>1.0116587288378729</c:v>
                </c:pt>
                <c:pt idx="7">
                  <c:v>0.85179349881785849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785-46D7-92A9-84B65A3E6789}"/>
            </c:ext>
          </c:extLst>
        </c:ser>
        <c:ser>
          <c:idx val="1"/>
          <c:order val="1"/>
          <c:tx>
            <c:strRef>
              <c:f>Tables!$D$105</c:f>
              <c:strCache>
                <c:ptCount val="1"/>
                <c:pt idx="0">
                  <c:v>Anti-corruption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Tables!$E$103:$L$103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Tables!$E$105:$L$105</c:f>
              <c:numCache>
                <c:formatCode>0%</c:formatCode>
                <c:ptCount val="8"/>
                <c:pt idx="0">
                  <c:v>1.2309939477568275</c:v>
                </c:pt>
                <c:pt idx="1">
                  <c:v>0.99895605226065642</c:v>
                </c:pt>
                <c:pt idx="2">
                  <c:v>0.99804794038842215</c:v>
                </c:pt>
                <c:pt idx="3">
                  <c:v>1.1803512312009334</c:v>
                </c:pt>
                <c:pt idx="4">
                  <c:v>0.83929947566448593</c:v>
                </c:pt>
                <c:pt idx="5">
                  <c:v>0.84156054553735005</c:v>
                </c:pt>
                <c:pt idx="6">
                  <c:v>0.68488194907552991</c:v>
                </c:pt>
                <c:pt idx="7">
                  <c:v>0.68930545755954553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785-46D7-92A9-84B65A3E6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790208"/>
        <c:axId val="184790768"/>
      </c:lineChart>
      <c:catAx>
        <c:axId val="18479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790768"/>
        <c:crosses val="autoZero"/>
        <c:auto val="1"/>
        <c:lblAlgn val="ctr"/>
        <c:lblOffset val="100"/>
        <c:noMultiLvlLbl val="0"/>
      </c:catAx>
      <c:valAx>
        <c:axId val="18479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79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Actual Spenind</a:t>
            </a:r>
            <a:r>
              <a:rPr lang="en-AU" baseline="0"/>
              <a:t>g - </a:t>
            </a:r>
            <a:r>
              <a:rPr lang="en-AU" sz="1400" b="0" i="0" u="none" strike="noStrike" baseline="0">
                <a:effectLst/>
              </a:rPr>
              <a:t>Ombudsman Commission/National Fraud and Corruption/Auditor General/National Anti-corruption Strategy Taskforce/FIU</a:t>
            </a:r>
            <a:r>
              <a:rPr lang="en-AU" baseline="0"/>
              <a:t> </a:t>
            </a:r>
            <a:endParaRPr lang="en-AU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Tables!$D$109</c:f>
              <c:strCache>
                <c:ptCount val="1"/>
                <c:pt idx="0">
                  <c:v>Ombudsman Commission 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9"/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67E-4CCA-9752-D2502F0A2800}"/>
              </c:ext>
            </c:extLst>
          </c:dPt>
          <c:cat>
            <c:numRef>
              <c:f>Tables!$E$108:$N$108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Tables!$E$109:$N$109</c:f>
              <c:numCache>
                <c:formatCode>#,##0.0</c:formatCode>
                <c:ptCount val="10"/>
                <c:pt idx="0">
                  <c:v>18.116883669106599</c:v>
                </c:pt>
                <c:pt idx="1">
                  <c:v>20.004651793345321</c:v>
                </c:pt>
                <c:pt idx="2">
                  <c:v>19.033480554776645</c:v>
                </c:pt>
                <c:pt idx="3">
                  <c:v>19.135389894216832</c:v>
                </c:pt>
                <c:pt idx="4">
                  <c:v>21.751769601732239</c:v>
                </c:pt>
                <c:pt idx="5">
                  <c:v>21.426525250623971</c:v>
                </c:pt>
                <c:pt idx="6">
                  <c:v>20.900082948221275</c:v>
                </c:pt>
                <c:pt idx="7">
                  <c:v>20.398627666661607</c:v>
                </c:pt>
                <c:pt idx="8">
                  <c:v>18.600995000000001</c:v>
                </c:pt>
                <c:pt idx="9">
                  <c:v>17.794663970190499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67E-4CCA-9752-D2502F0A2800}"/>
            </c:ext>
          </c:extLst>
        </c:ser>
        <c:ser>
          <c:idx val="1"/>
          <c:order val="1"/>
          <c:tx>
            <c:strRef>
              <c:f>Tables!$D$110</c:f>
              <c:strCache>
                <c:ptCount val="1"/>
                <c:pt idx="0">
                  <c:v>Fraud and Corruption Actual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8"/>
            <c:bubble3D val="0"/>
            <c:spPr>
              <a:ln w="28575" cap="rnd">
                <a:solidFill>
                  <a:srgbClr val="C00000"/>
                </a:solidFill>
                <a:prstDash val="sysDash"/>
                <a:round/>
              </a:ln>
              <a:effectLst/>
            </c:spPr>
          </c:dPt>
          <c:dPt>
            <c:idx val="9"/>
            <c:bubble3D val="0"/>
            <c:spPr>
              <a:ln w="28575" cap="rnd">
                <a:solidFill>
                  <a:srgbClr val="C00000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67E-4CCA-9752-D2502F0A2800}"/>
              </c:ext>
            </c:extLst>
          </c:dPt>
          <c:cat>
            <c:numRef>
              <c:f>Tables!$E$108:$N$108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Tables!$E$110:$N$110</c:f>
              <c:numCache>
                <c:formatCode>#,##0.0</c:formatCode>
                <c:ptCount val="10"/>
                <c:pt idx="0">
                  <c:v>0.81148112996267419</c:v>
                </c:pt>
                <c:pt idx="1">
                  <c:v>0.20560336565382692</c:v>
                </c:pt>
                <c:pt idx="2">
                  <c:v>0.65085285002480542</c:v>
                </c:pt>
                <c:pt idx="3">
                  <c:v>0.93872703646029132</c:v>
                </c:pt>
                <c:pt idx="4">
                  <c:v>0.67522618503379317</c:v>
                </c:pt>
                <c:pt idx="5">
                  <c:v>0.52856512157568425</c:v>
                </c:pt>
                <c:pt idx="6">
                  <c:v>1.0166332482958234</c:v>
                </c:pt>
                <c:pt idx="7">
                  <c:v>1.13239731533437</c:v>
                </c:pt>
                <c:pt idx="8">
                  <c:v>1.6939</c:v>
                </c:pt>
                <c:pt idx="9">
                  <c:v>1.3354283690673006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067E-4CCA-9752-D2502F0A2800}"/>
            </c:ext>
          </c:extLst>
        </c:ser>
        <c:ser>
          <c:idx val="2"/>
          <c:order val="2"/>
          <c:tx>
            <c:strRef>
              <c:f>Tables!$D$111</c:f>
              <c:strCache>
                <c:ptCount val="1"/>
                <c:pt idx="0">
                  <c:v>Auditor General Actual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9"/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67E-4CCA-9752-D2502F0A2800}"/>
              </c:ext>
            </c:extLst>
          </c:dPt>
          <c:cat>
            <c:numRef>
              <c:f>Tables!$E$108:$N$108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Tables!$E$111:$N$111</c:f>
              <c:numCache>
                <c:formatCode>#,##0.0</c:formatCode>
                <c:ptCount val="10"/>
                <c:pt idx="0">
                  <c:v>24.01524097193272</c:v>
                </c:pt>
                <c:pt idx="1">
                  <c:v>20.283491562288177</c:v>
                </c:pt>
                <c:pt idx="2">
                  <c:v>19.75428551282328</c:v>
                </c:pt>
                <c:pt idx="3">
                  <c:v>20.991556462438925</c:v>
                </c:pt>
                <c:pt idx="4">
                  <c:v>22.125515614411846</c:v>
                </c:pt>
                <c:pt idx="5">
                  <c:v>27.629002717994862</c:v>
                </c:pt>
                <c:pt idx="6">
                  <c:v>22.314695304105939</c:v>
                </c:pt>
                <c:pt idx="7">
                  <c:v>20.869797381784821</c:v>
                </c:pt>
                <c:pt idx="8">
                  <c:v>22.286769</c:v>
                </c:pt>
                <c:pt idx="9">
                  <c:v>16.38190227950837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067E-4CCA-9752-D2502F0A2800}"/>
            </c:ext>
          </c:extLst>
        </c:ser>
        <c:ser>
          <c:idx val="3"/>
          <c:order val="3"/>
          <c:tx>
            <c:strRef>
              <c:f>Tables!$D$112</c:f>
              <c:strCache>
                <c:ptCount val="1"/>
                <c:pt idx="0">
                  <c:v>ITFS/ICAC Actual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8"/>
            <c:bubble3D val="0"/>
            <c:spPr>
              <a:ln w="28575" cap="rnd">
                <a:solidFill>
                  <a:schemeClr val="accent4"/>
                </a:solidFill>
                <a:prstDash val="sysDash"/>
                <a:round/>
              </a:ln>
              <a:effectLst/>
            </c:spPr>
          </c:dPt>
          <c:dPt>
            <c:idx val="9"/>
            <c:bubble3D val="0"/>
            <c:spPr>
              <a:ln w="28575" cap="rnd">
                <a:solidFill>
                  <a:schemeClr val="accent4"/>
                </a:solidFill>
                <a:prstDash val="sysDash"/>
                <a:round/>
              </a:ln>
              <a:effectLst/>
            </c:spPr>
          </c:dPt>
          <c:cat>
            <c:numRef>
              <c:f>Tables!$E$108:$N$108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Tables!$E$112:$N$112</c:f>
              <c:numCache>
                <c:formatCode>#,##0.0</c:formatCode>
                <c:ptCount val="10"/>
                <c:pt idx="3">
                  <c:v>7.5285077592224683</c:v>
                </c:pt>
                <c:pt idx="4">
                  <c:v>3.7250433157436187</c:v>
                </c:pt>
                <c:pt idx="5">
                  <c:v>7.6895104974081177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0.95238080806397096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067E-4CCA-9752-D2502F0A2800}"/>
            </c:ext>
          </c:extLst>
        </c:ser>
        <c:ser>
          <c:idx val="4"/>
          <c:order val="4"/>
          <c:tx>
            <c:strRef>
              <c:f>Tables!$D$113</c:f>
              <c:strCache>
                <c:ptCount val="1"/>
                <c:pt idx="0">
                  <c:v>FIU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Pt>
            <c:idx val="8"/>
            <c:bubble3D val="0"/>
            <c:spPr>
              <a:ln w="28575" cap="rnd">
                <a:solidFill>
                  <a:schemeClr val="accent5"/>
                </a:solidFill>
                <a:prstDash val="sysDash"/>
                <a:round/>
              </a:ln>
              <a:effectLst/>
            </c:spPr>
          </c:dPt>
          <c:dPt>
            <c:idx val="9"/>
            <c:bubble3D val="0"/>
            <c:spPr>
              <a:ln w="28575" cap="rnd">
                <a:solidFill>
                  <a:schemeClr val="accent5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67E-4CCA-9752-D2502F0A2800}"/>
              </c:ext>
            </c:extLst>
          </c:dPt>
          <c:cat>
            <c:numRef>
              <c:f>Tables!$E$108:$N$108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Tables!$E$113:$N$113</c:f>
              <c:numCache>
                <c:formatCode>#,##0.0</c:formatCode>
                <c:ptCount val="10"/>
                <c:pt idx="6">
                  <c:v>0.3105630303149487</c:v>
                </c:pt>
                <c:pt idx="7">
                  <c:v>0.26436384016137005</c:v>
                </c:pt>
                <c:pt idx="8">
                  <c:v>0.64170000000000005</c:v>
                </c:pt>
                <c:pt idx="9">
                  <c:v>0.45447612160812706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067E-4CCA-9752-D2502F0A2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795808"/>
        <c:axId val="184796368"/>
      </c:lineChart>
      <c:catAx>
        <c:axId val="18479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796368"/>
        <c:crosses val="autoZero"/>
        <c:auto val="1"/>
        <c:lblAlgn val="ctr"/>
        <c:lblOffset val="100"/>
        <c:noMultiLvlLbl val="0"/>
      </c:catAx>
      <c:valAx>
        <c:axId val="18479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79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%</a:t>
            </a:r>
            <a:r>
              <a:rPr lang="en-AU" baseline="0"/>
              <a:t> of spending to budget</a:t>
            </a:r>
            <a:endParaRPr lang="en-A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Tables!$D$104</c:f>
              <c:strCache>
                <c:ptCount val="1"/>
                <c:pt idx="0">
                  <c:v>Total budget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Tables!$E$103:$M$103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Tables!$E$104:$M$104</c:f>
              <c:numCache>
                <c:formatCode>0%</c:formatCode>
                <c:ptCount val="9"/>
                <c:pt idx="0">
                  <c:v>1.0784218658429183</c:v>
                </c:pt>
                <c:pt idx="1">
                  <c:v>1.0016289549146489</c:v>
                </c:pt>
                <c:pt idx="2">
                  <c:v>1.080819349100917</c:v>
                </c:pt>
                <c:pt idx="3">
                  <c:v>1.003945556615335</c:v>
                </c:pt>
                <c:pt idx="4">
                  <c:v>0.95187780887469708</c:v>
                </c:pt>
                <c:pt idx="5">
                  <c:v>0.96017309866808154</c:v>
                </c:pt>
                <c:pt idx="6">
                  <c:v>1.0116587288378729</c:v>
                </c:pt>
                <c:pt idx="7">
                  <c:v>0.85179349881785849</c:v>
                </c:pt>
                <c:pt idx="8">
                  <c:v>0.92232212119789991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Tables!$D$105</c:f>
              <c:strCache>
                <c:ptCount val="1"/>
                <c:pt idx="0">
                  <c:v>Anti-corruption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Tables!$E$103:$M$103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Tables!$E$105:$M$105</c:f>
              <c:numCache>
                <c:formatCode>0%</c:formatCode>
                <c:ptCount val="9"/>
                <c:pt idx="0">
                  <c:v>1.2309939477568275</c:v>
                </c:pt>
                <c:pt idx="1">
                  <c:v>0.99895605226065642</c:v>
                </c:pt>
                <c:pt idx="2">
                  <c:v>0.99804794038842215</c:v>
                </c:pt>
                <c:pt idx="3">
                  <c:v>1.1803512312009334</c:v>
                </c:pt>
                <c:pt idx="4">
                  <c:v>0.83929947566448593</c:v>
                </c:pt>
                <c:pt idx="5">
                  <c:v>0.84156054553735005</c:v>
                </c:pt>
                <c:pt idx="6">
                  <c:v>0.68488194907552991</c:v>
                </c:pt>
                <c:pt idx="7">
                  <c:v>0.68930545755954553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917744"/>
        <c:axId val="184918304"/>
      </c:lineChart>
      <c:catAx>
        <c:axId val="18491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918304"/>
        <c:crosses val="autoZero"/>
        <c:auto val="1"/>
        <c:lblAlgn val="ctr"/>
        <c:lblOffset val="100"/>
        <c:noMultiLvlLbl val="0"/>
      </c:catAx>
      <c:valAx>
        <c:axId val="18491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91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Anti-corruption Spending as Proportion of National Budget minus provincial expenses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Tables!$D$118</c:f>
              <c:strCache>
                <c:ptCount val="1"/>
                <c:pt idx="0">
                  <c:v>Budgeted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Tables!$E$117:$N$117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 formatCode="#,##0">
                  <c:v>2017</c:v>
                </c:pt>
              </c:numCache>
            </c:numRef>
          </c:cat>
          <c:val>
            <c:numRef>
              <c:f>Tables!$E$118:$N$118</c:f>
              <c:numCache>
                <c:formatCode>0.0%</c:formatCode>
                <c:ptCount val="10"/>
                <c:pt idx="0">
                  <c:v>3.7270685502245951E-3</c:v>
                </c:pt>
                <c:pt idx="1">
                  <c:v>5.0527839445875149E-3</c:v>
                </c:pt>
                <c:pt idx="2">
                  <c:v>4.5236668942826982E-3</c:v>
                </c:pt>
                <c:pt idx="3">
                  <c:v>3.9460784313725492E-3</c:v>
                </c:pt>
                <c:pt idx="4">
                  <c:v>5.0691345596200772E-3</c:v>
                </c:pt>
                <c:pt idx="5">
                  <c:v>4.9791068028388428E-3</c:v>
                </c:pt>
                <c:pt idx="6">
                  <c:v>5.0110207862590784E-3</c:v>
                </c:pt>
                <c:pt idx="7">
                  <c:v>4.6605422576242502E-3</c:v>
                </c:pt>
                <c:pt idx="8">
                  <c:v>4.3269011860610287E-3</c:v>
                </c:pt>
                <c:pt idx="9">
                  <c:v>4.38307617870007E-3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Tables!$D$119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Tables!$E$117:$N$117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 formatCode="#,##0">
                  <c:v>2017</c:v>
                </c:pt>
              </c:numCache>
            </c:numRef>
          </c:cat>
          <c:val>
            <c:numRef>
              <c:f>Tables!$E$119:$N$119</c:f>
              <c:numCache>
                <c:formatCode>0.0%</c:formatCode>
                <c:ptCount val="10"/>
                <c:pt idx="0">
                  <c:v>4.2095478437462665E-3</c:v>
                </c:pt>
                <c:pt idx="1">
                  <c:v>5.0378458865864249E-3</c:v>
                </c:pt>
                <c:pt idx="2">
                  <c:v>4.1285460867097144E-3</c:v>
                </c:pt>
                <c:pt idx="3">
                  <c:v>4.6333168316831696E-3</c:v>
                </c:pt>
                <c:pt idx="4">
                  <c:v>4.5077620488562726E-3</c:v>
                </c:pt>
                <c:pt idx="5">
                  <c:v>4.3900001813532569E-3</c:v>
                </c:pt>
                <c:pt idx="6">
                  <c:v>3.3852420518688674E-3</c:v>
                </c:pt>
                <c:pt idx="7">
                  <c:v>3.9777641617583116E-3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921664"/>
        <c:axId val="184922224"/>
      </c:lineChart>
      <c:catAx>
        <c:axId val="18492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922224"/>
        <c:crosses val="autoZero"/>
        <c:auto val="1"/>
        <c:lblAlgn val="ctr"/>
        <c:lblOffset val="100"/>
        <c:noMultiLvlLbl val="0"/>
      </c:catAx>
      <c:valAx>
        <c:axId val="18492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92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National Fraud and Corruption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Tables!$D$38</c:f>
              <c:strCache>
                <c:ptCount val="1"/>
                <c:pt idx="0">
                  <c:v>Budgeted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Tables!$E$37:$N$37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Tables!$E$38:$N$38</c:f>
              <c:numCache>
                <c:formatCode>#,##0.00</c:formatCode>
                <c:ptCount val="10"/>
                <c:pt idx="0">
                  <c:v>0.26506047796790927</c:v>
                </c:pt>
                <c:pt idx="1">
                  <c:v>0.24792089829359584</c:v>
                </c:pt>
                <c:pt idx="2">
                  <c:v>0.72798996138996153</c:v>
                </c:pt>
                <c:pt idx="3">
                  <c:v>1.042308919078559</c:v>
                </c:pt>
                <c:pt idx="4">
                  <c:v>1.2271534363164727</c:v>
                </c:pt>
                <c:pt idx="5">
                  <c:v>1.1813454127248841</c:v>
                </c:pt>
                <c:pt idx="6">
                  <c:v>1.2538252008988831</c:v>
                </c:pt>
                <c:pt idx="7">
                  <c:v>1.6442710058473025</c:v>
                </c:pt>
                <c:pt idx="8">
                  <c:v>1.6939000000000002</c:v>
                </c:pt>
                <c:pt idx="9">
                  <c:v>1.3354283690673006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087-45D6-8817-317AC3624D3B}"/>
            </c:ext>
          </c:extLst>
        </c:ser>
        <c:ser>
          <c:idx val="1"/>
          <c:order val="1"/>
          <c:tx>
            <c:strRef>
              <c:f>Tables!$D$39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Tables!$E$37:$N$37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Tables!$E$39:$N$39</c:f>
              <c:numCache>
                <c:formatCode>#,##0.00</c:formatCode>
                <c:ptCount val="10"/>
                <c:pt idx="0">
                  <c:v>0.81148112996267419</c:v>
                </c:pt>
                <c:pt idx="1">
                  <c:v>0.20560336565382692</c:v>
                </c:pt>
                <c:pt idx="2">
                  <c:v>0.65085285002480542</c:v>
                </c:pt>
                <c:pt idx="3">
                  <c:v>0.93872703646029132</c:v>
                </c:pt>
                <c:pt idx="4">
                  <c:v>0.67522618503379317</c:v>
                </c:pt>
                <c:pt idx="5">
                  <c:v>0.52856512157568425</c:v>
                </c:pt>
                <c:pt idx="6">
                  <c:v>1.0166332482958234</c:v>
                </c:pt>
                <c:pt idx="7">
                  <c:v>1.1323973153343689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87-45D6-8817-317AC3624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253408"/>
        <c:axId val="183253968"/>
      </c:lineChart>
      <c:catAx>
        <c:axId val="18325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253968"/>
        <c:crosses val="autoZero"/>
        <c:auto val="1"/>
        <c:lblAlgn val="ctr"/>
        <c:lblOffset val="100"/>
        <c:noMultiLvlLbl val="0"/>
      </c:catAx>
      <c:valAx>
        <c:axId val="18325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253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Auditor General</a:t>
            </a:r>
          </a:p>
        </c:rich>
      </c:tx>
      <c:layout>
        <c:manualLayout>
          <c:xMode val="edge"/>
          <c:yMode val="edge"/>
          <c:x val="0.41782633420822474"/>
          <c:y val="3.70370370370370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Tables!$D$43</c:f>
              <c:strCache>
                <c:ptCount val="1"/>
                <c:pt idx="0">
                  <c:v>Budgeted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Tables!$E$42:$N$42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Tables!$E$43:$N$43</c:f>
              <c:numCache>
                <c:formatCode>#,##0.0</c:formatCode>
                <c:ptCount val="10"/>
                <c:pt idx="0">
                  <c:v>17.101884838819142</c:v>
                </c:pt>
                <c:pt idx="1">
                  <c:v>20.283491562288177</c:v>
                </c:pt>
                <c:pt idx="2">
                  <c:v>19.75428551282328</c:v>
                </c:pt>
                <c:pt idx="3">
                  <c:v>20.991556462438925</c:v>
                </c:pt>
                <c:pt idx="4">
                  <c:v>28.33392114065121</c:v>
                </c:pt>
                <c:pt idx="5">
                  <c:v>21.784974739964689</c:v>
                </c:pt>
                <c:pt idx="6">
                  <c:v>20.225810609248771</c:v>
                </c:pt>
                <c:pt idx="7">
                  <c:v>30.728745420906257</c:v>
                </c:pt>
                <c:pt idx="8">
                  <c:v>23.928000000000001</c:v>
                </c:pt>
                <c:pt idx="9">
                  <c:v>16.38190227950837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7DF-4AD5-AAA0-89F3A13B9E6B}"/>
            </c:ext>
          </c:extLst>
        </c:ser>
        <c:ser>
          <c:idx val="1"/>
          <c:order val="1"/>
          <c:tx>
            <c:strRef>
              <c:f>Tables!$D$44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Tables!$E$42:$N$42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Tables!$E$44:$N$44</c:f>
              <c:numCache>
                <c:formatCode>#,##0.0</c:formatCode>
                <c:ptCount val="10"/>
                <c:pt idx="0">
                  <c:v>24.01524097193272</c:v>
                </c:pt>
                <c:pt idx="1">
                  <c:v>20.283491562288177</c:v>
                </c:pt>
                <c:pt idx="2">
                  <c:v>19.75428551282328</c:v>
                </c:pt>
                <c:pt idx="3">
                  <c:v>20.991556462438925</c:v>
                </c:pt>
                <c:pt idx="4">
                  <c:v>22.125515614411846</c:v>
                </c:pt>
                <c:pt idx="5">
                  <c:v>27.629002717994862</c:v>
                </c:pt>
                <c:pt idx="6">
                  <c:v>22.314695304105939</c:v>
                </c:pt>
                <c:pt idx="7">
                  <c:v>20.869797381784821</c:v>
                </c:pt>
                <c:pt idx="8">
                  <c:v>22.286769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F-4AD5-AAA0-89F3A13B9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257328"/>
        <c:axId val="183257888"/>
      </c:lineChart>
      <c:catAx>
        <c:axId val="18325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257888"/>
        <c:crosses val="autoZero"/>
        <c:auto val="1"/>
        <c:lblAlgn val="ctr"/>
        <c:lblOffset val="100"/>
        <c:noMultiLvlLbl val="0"/>
      </c:catAx>
      <c:valAx>
        <c:axId val="18325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25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Attorney</a:t>
            </a:r>
            <a:r>
              <a:rPr lang="en-AU" baseline="0"/>
              <a:t> General</a:t>
            </a:r>
            <a:endParaRPr lang="en-AU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Tables!$D$53</c:f>
              <c:strCache>
                <c:ptCount val="1"/>
                <c:pt idx="0">
                  <c:v>Budgeted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Tables!$E$52:$N$52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Tables!$E$53:$N$53</c:f>
              <c:numCache>
                <c:formatCode>#,##0.0</c:formatCode>
                <c:ptCount val="10"/>
                <c:pt idx="0">
                  <c:v>49.089505186872856</c:v>
                </c:pt>
                <c:pt idx="1">
                  <c:v>47.912850844360626</c:v>
                </c:pt>
                <c:pt idx="2">
                  <c:v>44.336893272362545</c:v>
                </c:pt>
                <c:pt idx="3">
                  <c:v>142.56657262524837</c:v>
                </c:pt>
                <c:pt idx="4">
                  <c:v>175.50541582126058</c:v>
                </c:pt>
                <c:pt idx="5">
                  <c:v>149.48881607607376</c:v>
                </c:pt>
                <c:pt idx="6">
                  <c:v>129.0330963760434</c:v>
                </c:pt>
                <c:pt idx="7">
                  <c:v>184.04874872116616</c:v>
                </c:pt>
                <c:pt idx="8">
                  <c:v>159.40010000000001</c:v>
                </c:pt>
                <c:pt idx="9">
                  <c:v>152.539024504374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0B-46BC-9CFA-7FE8DC408DDB}"/>
            </c:ext>
          </c:extLst>
        </c:ser>
        <c:ser>
          <c:idx val="1"/>
          <c:order val="1"/>
          <c:tx>
            <c:strRef>
              <c:f>Tables!$D$54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Tables!$E$52:$N$52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Tables!$E$54:$N$54</c:f>
              <c:numCache>
                <c:formatCode>#,##0.0</c:formatCode>
                <c:ptCount val="10"/>
                <c:pt idx="0">
                  <c:v>58.304165136458394</c:v>
                </c:pt>
                <c:pt idx="1">
                  <c:v>50.570163920898295</c:v>
                </c:pt>
                <c:pt idx="2">
                  <c:v>52.956728226742314</c:v>
                </c:pt>
                <c:pt idx="3">
                  <c:v>148.27655635504487</c:v>
                </c:pt>
                <c:pt idx="4">
                  <c:v>84.697551551167905</c:v>
                </c:pt>
                <c:pt idx="5">
                  <c:v>118.82068220918021</c:v>
                </c:pt>
                <c:pt idx="6">
                  <c:v>111.97853430789777</c:v>
                </c:pt>
                <c:pt idx="7">
                  <c:v>115.02159045609633</c:v>
                </c:pt>
                <c:pt idx="8">
                  <c:v>129.261428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0B-46BC-9CFA-7FE8DC408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32608"/>
        <c:axId val="183433168"/>
      </c:lineChart>
      <c:catAx>
        <c:axId val="18343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33168"/>
        <c:crosses val="autoZero"/>
        <c:auto val="1"/>
        <c:lblAlgn val="ctr"/>
        <c:lblOffset val="100"/>
        <c:noMultiLvlLbl val="0"/>
      </c:catAx>
      <c:valAx>
        <c:axId val="18343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3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RPNGC (Police)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Tables!$D$59</c:f>
              <c:strCache>
                <c:ptCount val="1"/>
                <c:pt idx="0">
                  <c:v>RPNGC Budgeted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Tables!$E$58:$N$58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Tables!$E$59:$N$59</c:f>
              <c:numCache>
                <c:formatCode>#,##0.0</c:formatCode>
                <c:ptCount val="10"/>
                <c:pt idx="0">
                  <c:v>277.29286669252031</c:v>
                </c:pt>
                <c:pt idx="1">
                  <c:v>270.43753022309983</c:v>
                </c:pt>
                <c:pt idx="2">
                  <c:v>301.28616943983093</c:v>
                </c:pt>
                <c:pt idx="3">
                  <c:v>340.99726886108584</c:v>
                </c:pt>
                <c:pt idx="4">
                  <c:v>369.93777672981452</c:v>
                </c:pt>
                <c:pt idx="5">
                  <c:v>319.70736945154476</c:v>
                </c:pt>
                <c:pt idx="6">
                  <c:v>487.97946478213538</c:v>
                </c:pt>
                <c:pt idx="7">
                  <c:v>389.20950467767318</c:v>
                </c:pt>
                <c:pt idx="8">
                  <c:v>361.29500000000002</c:v>
                </c:pt>
                <c:pt idx="9">
                  <c:v>294.18376494530423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E5F-4754-B315-FE6EDF852CEC}"/>
            </c:ext>
          </c:extLst>
        </c:ser>
        <c:ser>
          <c:idx val="1"/>
          <c:order val="1"/>
          <c:tx>
            <c:strRef>
              <c:f>Tables!$D$60</c:f>
              <c:strCache>
                <c:ptCount val="1"/>
                <c:pt idx="0">
                  <c:v>RPNGC 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Tables!$E$58:$N$58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Tables!$E$60:$N$60</c:f>
              <c:numCache>
                <c:formatCode>#,##0.0</c:formatCode>
                <c:ptCount val="10"/>
                <c:pt idx="0">
                  <c:v>317.41144570265169</c:v>
                </c:pt>
                <c:pt idx="1">
                  <c:v>300.35317613391885</c:v>
                </c:pt>
                <c:pt idx="2">
                  <c:v>315.8730818877936</c:v>
                </c:pt>
                <c:pt idx="3">
                  <c:v>443.75880373731417</c:v>
                </c:pt>
                <c:pt idx="4">
                  <c:v>402.33820349015247</c:v>
                </c:pt>
                <c:pt idx="5">
                  <c:v>421.19707800118209</c:v>
                </c:pt>
                <c:pt idx="6">
                  <c:v>474.24907321032396</c:v>
                </c:pt>
                <c:pt idx="7">
                  <c:v>398.09017930827446</c:v>
                </c:pt>
                <c:pt idx="8">
                  <c:v>444.73693700000001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E5F-4754-B315-FE6EDF852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36528"/>
        <c:axId val="183437088"/>
      </c:lineChart>
      <c:catAx>
        <c:axId val="18343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37088"/>
        <c:crosses val="autoZero"/>
        <c:auto val="1"/>
        <c:lblAlgn val="ctr"/>
        <c:lblOffset val="100"/>
        <c:noMultiLvlLbl val="0"/>
      </c:catAx>
      <c:valAx>
        <c:axId val="18343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3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Anti-corruption Spending as Proportion of National Budget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Tables!$D$85</c:f>
              <c:strCache>
                <c:ptCount val="1"/>
                <c:pt idx="0">
                  <c:v>Budgeted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Tables!$E$84:$N$84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Tables!$E$85:$N$85</c:f>
              <c:numCache>
                <c:formatCode>0.0%</c:formatCode>
                <c:ptCount val="10"/>
                <c:pt idx="0">
                  <c:v>3.2717947252621656E-3</c:v>
                </c:pt>
                <c:pt idx="1">
                  <c:v>4.2610421315919548E-3</c:v>
                </c:pt>
                <c:pt idx="2">
                  <c:v>3.8918381243574504E-3</c:v>
                </c:pt>
                <c:pt idx="3">
                  <c:v>3.40012006603632E-3</c:v>
                </c:pt>
                <c:pt idx="4">
                  <c:v>4.3867409069818092E-3</c:v>
                </c:pt>
                <c:pt idx="5">
                  <c:v>4.4148172023206556E-3</c:v>
                </c:pt>
                <c:pt idx="6">
                  <c:v>3.7844846186537635E-3</c:v>
                </c:pt>
                <c:pt idx="7">
                  <c:v>3.6046693952133143E-3</c:v>
                </c:pt>
                <c:pt idx="8">
                  <c:v>3.1927844688604988E-3</c:v>
                </c:pt>
                <c:pt idx="9">
                  <c:v>3.0536574403535713E-3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463-4798-A1F4-CB18E87699F0}"/>
            </c:ext>
          </c:extLst>
        </c:ser>
        <c:ser>
          <c:idx val="1"/>
          <c:order val="1"/>
          <c:tx>
            <c:strRef>
              <c:f>Tables!$D$86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Tables!$E$84:$N$84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Tables!$E$86:$N$86</c:f>
              <c:numCache>
                <c:formatCode>0.0%</c:formatCode>
                <c:ptCount val="10"/>
                <c:pt idx="0">
                  <c:v>3.7329510845096536E-3</c:v>
                </c:pt>
                <c:pt idx="1">
                  <c:v>4.2497196261682248E-3</c:v>
                </c:pt>
                <c:pt idx="2">
                  <c:v>3.594864444060005E-3</c:v>
                </c:pt>
                <c:pt idx="3">
                  <c:v>3.9951764027917102E-3</c:v>
                </c:pt>
                <c:pt idx="4">
                  <c:v>3.8699300281678931E-3</c:v>
                </c:pt>
                <c:pt idx="5">
                  <c:v>3.8715553778488599E-3</c:v>
                </c:pt>
                <c:pt idx="6">
                  <c:v>2.5651906638453721E-3</c:v>
                </c:pt>
                <c:pt idx="7">
                  <c:v>2.9190502436760271E-3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63-4798-A1F4-CB18E8769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646608"/>
        <c:axId val="183647168"/>
      </c:lineChart>
      <c:catAx>
        <c:axId val="18364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647168"/>
        <c:crosses val="autoZero"/>
        <c:auto val="1"/>
        <c:lblAlgn val="ctr"/>
        <c:lblOffset val="100"/>
        <c:noMultiLvlLbl val="0"/>
      </c:catAx>
      <c:valAx>
        <c:axId val="18364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64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1400" b="0" i="0" baseline="0">
                <a:effectLst/>
              </a:rPr>
              <a:t>Total Anti-corruption Spending - Ombudsman Commission/National Fraud and Corruption/Auditor General/National Anti-corruption Strategy Taskforce/FIU</a:t>
            </a:r>
            <a:endParaRPr lang="en-AU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Tables!$D$48</c:f>
              <c:strCache>
                <c:ptCount val="1"/>
                <c:pt idx="0">
                  <c:v>Budgeted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Tables!$E$47:$N$47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Tables!$E$48:$N$48</c:f>
              <c:numCache>
                <c:formatCode>#,##0.0</c:formatCode>
                <c:ptCount val="10"/>
                <c:pt idx="0">
                  <c:v>34.885310239953469</c:v>
                </c:pt>
                <c:pt idx="1">
                  <c:v>40.536064253927094</c:v>
                </c:pt>
                <c:pt idx="2">
                  <c:v>39.515756028989884</c:v>
                </c:pt>
                <c:pt idx="3">
                  <c:v>41.169255275734315</c:v>
                </c:pt>
                <c:pt idx="4">
                  <c:v>57.521249704939279</c:v>
                </c:pt>
                <c:pt idx="5">
                  <c:v>68.056426707875787</c:v>
                </c:pt>
                <c:pt idx="6">
                  <c:v>65.035988451822703</c:v>
                </c:pt>
                <c:pt idx="7">
                  <c:v>61.895906576739307</c:v>
                </c:pt>
                <c:pt idx="8">
                  <c:v>47.133800000000001</c:v>
                </c:pt>
                <c:pt idx="9">
                  <c:v>38.823613164566176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D1-4FB5-B4C3-FF1676126005}"/>
            </c:ext>
          </c:extLst>
        </c:ser>
        <c:ser>
          <c:idx val="1"/>
          <c:order val="1"/>
          <c:tx>
            <c:strRef>
              <c:f>Tables!$D$49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Tables!$E$47:$N$47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Tables!$E$49:$N$49</c:f>
              <c:numCache>
                <c:formatCode>#,##0.0</c:formatCode>
                <c:ptCount val="10"/>
                <c:pt idx="0">
                  <c:v>42.943605771001998</c:v>
                </c:pt>
                <c:pt idx="1">
                  <c:v>40.493746721287323</c:v>
                </c:pt>
                <c:pt idx="2">
                  <c:v>39.43861891762473</c:v>
                </c:pt>
                <c:pt idx="3">
                  <c:v>48.594181152338521</c:v>
                </c:pt>
                <c:pt idx="4">
                  <c:v>48.2775547169215</c:v>
                </c:pt>
                <c:pt idx="5">
                  <c:v>57.273603587602629</c:v>
                </c:pt>
                <c:pt idx="6">
                  <c:v>44.541974530937985</c:v>
                </c:pt>
                <c:pt idx="7">
                  <c:v>42.66518620394217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D1-4FB5-B4C3-FF1676126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650528"/>
        <c:axId val="183651088"/>
      </c:lineChart>
      <c:catAx>
        <c:axId val="18365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651088"/>
        <c:crosses val="autoZero"/>
        <c:auto val="1"/>
        <c:lblAlgn val="ctr"/>
        <c:lblOffset val="100"/>
        <c:noMultiLvlLbl val="0"/>
      </c:catAx>
      <c:valAx>
        <c:axId val="18365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65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National Anti-Corruption Strategy Taskforce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Tables!$D$65</c:f>
              <c:strCache>
                <c:ptCount val="1"/>
                <c:pt idx="0">
                  <c:v>Budgeted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Tables!$E$64:$N$64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Tables!$E$65:$N$65</c:f>
              <c:numCache>
                <c:formatCode>#,##0.0</c:formatCode>
                <c:ptCount val="10"/>
                <c:pt idx="4">
                  <c:v>6.208405526239364</c:v>
                </c:pt>
                <c:pt idx="5">
                  <c:v>23.660032299717287</c:v>
                </c:pt>
                <c:pt idx="6">
                  <c:v>22.471999299200341</c:v>
                </c:pt>
                <c:pt idx="7">
                  <c:v>5.2999967955366891</c:v>
                </c:pt>
                <c:pt idx="8">
                  <c:v>0</c:v>
                </c:pt>
                <c:pt idx="9">
                  <c:v>0.95238080806397118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4C-463F-A8C6-2EA18A854E47}"/>
            </c:ext>
          </c:extLst>
        </c:ser>
        <c:ser>
          <c:idx val="1"/>
          <c:order val="1"/>
          <c:tx>
            <c:strRef>
              <c:f>Tables!$D$66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Tables!$E$64:$N$64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Tables!$E$66:$N$66</c:f>
              <c:numCache>
                <c:formatCode>#,##0.0</c:formatCode>
                <c:ptCount val="10"/>
                <c:pt idx="3">
                  <c:v>7.5285077592224683</c:v>
                </c:pt>
                <c:pt idx="4">
                  <c:v>3.7250433157436187</c:v>
                </c:pt>
                <c:pt idx="5">
                  <c:v>7.6895104974081177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4C-463F-A8C6-2EA18A854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890000"/>
        <c:axId val="183890560"/>
      </c:lineChart>
      <c:catAx>
        <c:axId val="18389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890560"/>
        <c:crosses val="autoZero"/>
        <c:auto val="1"/>
        <c:lblAlgn val="ctr"/>
        <c:lblOffset val="100"/>
        <c:noMultiLvlLbl val="0"/>
      </c:catAx>
      <c:valAx>
        <c:axId val="18389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89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RPNGC</a:t>
            </a:r>
            <a:r>
              <a:rPr lang="en-AU" baseline="0"/>
              <a:t> compared to AC spending/allocation</a:t>
            </a:r>
            <a:endParaRPr lang="en-AU"/>
          </a:p>
        </c:rich>
      </c:tx>
      <c:layout>
        <c:manualLayout>
          <c:xMode val="edge"/>
          <c:yMode val="edge"/>
          <c:x val="0.22175924922097151"/>
          <c:y val="5.055573053368331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Tables!$D$59</c:f>
              <c:strCache>
                <c:ptCount val="1"/>
                <c:pt idx="0">
                  <c:v>RPNGC Budgeted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Tables!$E$58:$N$58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Tables!$E$59:$N$59</c:f>
              <c:numCache>
                <c:formatCode>#,##0.0</c:formatCode>
                <c:ptCount val="10"/>
                <c:pt idx="0">
                  <c:v>277.29286669252031</c:v>
                </c:pt>
                <c:pt idx="1">
                  <c:v>270.43753022309983</c:v>
                </c:pt>
                <c:pt idx="2">
                  <c:v>301.28616943983093</c:v>
                </c:pt>
                <c:pt idx="3">
                  <c:v>340.99726886108584</c:v>
                </c:pt>
                <c:pt idx="4">
                  <c:v>369.93777672981452</c:v>
                </c:pt>
                <c:pt idx="5">
                  <c:v>319.70736945154476</c:v>
                </c:pt>
                <c:pt idx="6">
                  <c:v>487.97946478213538</c:v>
                </c:pt>
                <c:pt idx="7">
                  <c:v>389.20950467767318</c:v>
                </c:pt>
                <c:pt idx="8">
                  <c:v>361.29500000000002</c:v>
                </c:pt>
                <c:pt idx="9">
                  <c:v>294.18376494530423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D1A-4A01-8573-A1AA5F156B08}"/>
            </c:ext>
          </c:extLst>
        </c:ser>
        <c:ser>
          <c:idx val="1"/>
          <c:order val="1"/>
          <c:tx>
            <c:strRef>
              <c:f>Tables!$D$60</c:f>
              <c:strCache>
                <c:ptCount val="1"/>
                <c:pt idx="0">
                  <c:v>RPNGC 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Tables!$E$58:$N$58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Tables!$E$60:$N$60</c:f>
              <c:numCache>
                <c:formatCode>#,##0.0</c:formatCode>
                <c:ptCount val="10"/>
                <c:pt idx="0">
                  <c:v>317.41144570265169</c:v>
                </c:pt>
                <c:pt idx="1">
                  <c:v>300.35317613391885</c:v>
                </c:pt>
                <c:pt idx="2">
                  <c:v>315.8730818877936</c:v>
                </c:pt>
                <c:pt idx="3">
                  <c:v>443.75880373731417</c:v>
                </c:pt>
                <c:pt idx="4">
                  <c:v>402.33820349015247</c:v>
                </c:pt>
                <c:pt idx="5">
                  <c:v>421.19707800118209</c:v>
                </c:pt>
                <c:pt idx="6">
                  <c:v>474.24907321032396</c:v>
                </c:pt>
                <c:pt idx="7">
                  <c:v>398.09017930827446</c:v>
                </c:pt>
                <c:pt idx="8">
                  <c:v>444.73693700000001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1A-4A01-8573-A1AA5F156B08}"/>
            </c:ext>
          </c:extLst>
        </c:ser>
        <c:ser>
          <c:idx val="2"/>
          <c:order val="2"/>
          <c:tx>
            <c:strRef>
              <c:f>Tables!$D$61</c:f>
              <c:strCache>
                <c:ptCount val="1"/>
                <c:pt idx="0">
                  <c:v>AC Actual(solid)/Budgeted (dashed)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8"/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D1A-4A01-8573-A1AA5F156B08}"/>
              </c:ext>
            </c:extLst>
          </c:dPt>
          <c:dPt>
            <c:idx val="9"/>
            <c:bubble3D val="0"/>
            <c:spPr>
              <a:ln w="28575" cap="rnd">
                <a:solidFill>
                  <a:schemeClr val="accent3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D1A-4A01-8573-A1AA5F156B08}"/>
              </c:ext>
            </c:extLst>
          </c:dPt>
          <c:cat>
            <c:numRef>
              <c:f>Tables!$E$58:$N$58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Tables!$E$61:$N$61</c:f>
              <c:numCache>
                <c:formatCode>#,##0.0</c:formatCode>
                <c:ptCount val="10"/>
                <c:pt idx="0">
                  <c:v>42.943605771001998</c:v>
                </c:pt>
                <c:pt idx="1">
                  <c:v>40.493746721287323</c:v>
                </c:pt>
                <c:pt idx="2">
                  <c:v>39.43861891762473</c:v>
                </c:pt>
                <c:pt idx="3">
                  <c:v>48.594181152338521</c:v>
                </c:pt>
                <c:pt idx="4">
                  <c:v>48.2775547169215</c:v>
                </c:pt>
                <c:pt idx="5">
                  <c:v>57.273603587602629</c:v>
                </c:pt>
                <c:pt idx="6">
                  <c:v>44.541974530937985</c:v>
                </c:pt>
                <c:pt idx="7">
                  <c:v>42.66518620394217</c:v>
                </c:pt>
                <c:pt idx="8">
                  <c:v>47.133800000000001</c:v>
                </c:pt>
                <c:pt idx="9">
                  <c:v>38.823613164566176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5D1A-4A01-8573-A1AA5F156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894480"/>
        <c:axId val="183895040"/>
      </c:lineChart>
      <c:catAx>
        <c:axId val="183894480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895040"/>
        <c:crosses val="autoZero"/>
        <c:auto val="1"/>
        <c:lblAlgn val="ctr"/>
        <c:lblOffset val="100"/>
        <c:noMultiLvlLbl val="0"/>
      </c:catAx>
      <c:valAx>
        <c:axId val="18389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Millions of Kina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894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170</xdr:row>
      <xdr:rowOff>11759</xdr:rowOff>
    </xdr:from>
    <xdr:to>
      <xdr:col>6</xdr:col>
      <xdr:colOff>1047751</xdr:colOff>
      <xdr:row>185</xdr:row>
      <xdr:rowOff>164630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477896</xdr:colOff>
      <xdr:row>170</xdr:row>
      <xdr:rowOff>2527</xdr:rowOff>
    </xdr:from>
    <xdr:to>
      <xdr:col>12</xdr:col>
      <xdr:colOff>787870</xdr:colOff>
      <xdr:row>185</xdr:row>
      <xdr:rowOff>176389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188</xdr:row>
      <xdr:rowOff>14287</xdr:rowOff>
    </xdr:from>
    <xdr:to>
      <xdr:col>7</xdr:col>
      <xdr:colOff>9525</xdr:colOff>
      <xdr:row>203</xdr:row>
      <xdr:rowOff>152871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424814</xdr:colOff>
      <xdr:row>188</xdr:row>
      <xdr:rowOff>33338</xdr:rowOff>
    </xdr:from>
    <xdr:to>
      <xdr:col>12</xdr:col>
      <xdr:colOff>776110</xdr:colOff>
      <xdr:row>203</xdr:row>
      <xdr:rowOff>164630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206</xdr:row>
      <xdr:rowOff>25716</xdr:rowOff>
    </xdr:from>
    <xdr:to>
      <xdr:col>6</xdr:col>
      <xdr:colOff>1042035</xdr:colOff>
      <xdr:row>220</xdr:row>
      <xdr:rowOff>190499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466724</xdr:colOff>
      <xdr:row>153</xdr:row>
      <xdr:rowOff>14286</xdr:rowOff>
    </xdr:from>
    <xdr:to>
      <xdr:col>12</xdr:col>
      <xdr:colOff>776111</xdr:colOff>
      <xdr:row>167</xdr:row>
      <xdr:rowOff>188147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70554</xdr:colOff>
      <xdr:row>153</xdr:row>
      <xdr:rowOff>9526</xdr:rowOff>
    </xdr:from>
    <xdr:to>
      <xdr:col>6</xdr:col>
      <xdr:colOff>1028699</xdr:colOff>
      <xdr:row>168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419100</xdr:colOff>
      <xdr:row>206</xdr:row>
      <xdr:rowOff>23811</xdr:rowOff>
    </xdr:from>
    <xdr:to>
      <xdr:col>12</xdr:col>
      <xdr:colOff>729074</xdr:colOff>
      <xdr:row>220</xdr:row>
      <xdr:rowOff>180974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11906</xdr:colOff>
      <xdr:row>223</xdr:row>
      <xdr:rowOff>0</xdr:rowOff>
    </xdr:from>
    <xdr:to>
      <xdr:col>6</xdr:col>
      <xdr:colOff>1022033</xdr:colOff>
      <xdr:row>238</xdr:row>
      <xdr:rowOff>164630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417999</xdr:colOff>
      <xdr:row>222</xdr:row>
      <xdr:rowOff>187236</xdr:rowOff>
    </xdr:from>
    <xdr:to>
      <xdr:col>12</xdr:col>
      <xdr:colOff>705555</xdr:colOff>
      <xdr:row>239</xdr:row>
      <xdr:rowOff>35278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15140</xdr:colOff>
      <xdr:row>240</xdr:row>
      <xdr:rowOff>183209</xdr:rowOff>
    </xdr:from>
    <xdr:to>
      <xdr:col>6</xdr:col>
      <xdr:colOff>1046574</xdr:colOff>
      <xdr:row>256</xdr:row>
      <xdr:rowOff>176389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70184</xdr:colOff>
      <xdr:row>133</xdr:row>
      <xdr:rowOff>0</xdr:rowOff>
    </xdr:from>
    <xdr:to>
      <xdr:col>6</xdr:col>
      <xdr:colOff>1042736</xdr:colOff>
      <xdr:row>149</xdr:row>
      <xdr:rowOff>113296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446852</xdr:colOff>
      <xdr:row>132</xdr:row>
      <xdr:rowOff>180474</xdr:rowOff>
    </xdr:from>
    <xdr:to>
      <xdr:col>12</xdr:col>
      <xdr:colOff>787871</xdr:colOff>
      <xdr:row>151</xdr:row>
      <xdr:rowOff>11760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423332</xdr:colOff>
      <xdr:row>240</xdr:row>
      <xdr:rowOff>180622</xdr:rowOff>
    </xdr:from>
    <xdr:to>
      <xdr:col>12</xdr:col>
      <xdr:colOff>717314</xdr:colOff>
      <xdr:row>256</xdr:row>
      <xdr:rowOff>141111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11759</xdr:colOff>
      <xdr:row>259</xdr:row>
      <xdr:rowOff>11760</xdr:rowOff>
    </xdr:from>
    <xdr:to>
      <xdr:col>6</xdr:col>
      <xdr:colOff>1034814</xdr:colOff>
      <xdr:row>275</xdr:row>
      <xdr:rowOff>176389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vpolicy.crawford.anu.edu.au/png-project/png-budget-databas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42"/>
  <sheetViews>
    <sheetView tabSelected="1" topLeftCell="B5" zoomScale="70" zoomScaleNormal="70" workbookViewId="0">
      <selection activeCell="D17" sqref="D17"/>
    </sheetView>
  </sheetViews>
  <sheetFormatPr defaultRowHeight="15"/>
  <cols>
    <col min="1" max="1" width="0" hidden="1" customWidth="1"/>
    <col min="2" max="2" width="61" customWidth="1"/>
    <col min="3" max="3" width="5.42578125" customWidth="1"/>
    <col min="4" max="4" width="35.7109375" customWidth="1"/>
    <col min="5" max="5" width="15.42578125" customWidth="1"/>
    <col min="6" max="6" width="13.42578125" customWidth="1"/>
    <col min="7" max="7" width="15.85546875" customWidth="1"/>
    <col min="8" max="8" width="17.140625" customWidth="1"/>
    <col min="9" max="9" width="18" customWidth="1"/>
    <col min="10" max="10" width="16.85546875" customWidth="1"/>
    <col min="11" max="11" width="17" customWidth="1"/>
    <col min="12" max="12" width="15.5703125" customWidth="1"/>
    <col min="13" max="13" width="17.28515625" customWidth="1"/>
    <col min="14" max="14" width="16.85546875" customWidth="1"/>
    <col min="15" max="15" width="50.7109375" customWidth="1"/>
    <col min="16" max="16" width="13.140625" customWidth="1"/>
    <col min="17" max="17" width="17" bestFit="1" customWidth="1"/>
    <col min="18" max="19" width="10" bestFit="1" customWidth="1"/>
  </cols>
  <sheetData>
    <row r="1" spans="2:22" hidden="1"/>
    <row r="2" spans="2:22" hidden="1"/>
    <row r="3" spans="2:22" hidden="1"/>
    <row r="4" spans="2:22" hidden="1"/>
    <row r="5" spans="2:22" ht="21">
      <c r="B5" s="59" t="s">
        <v>47</v>
      </c>
    </row>
    <row r="6" spans="2:22">
      <c r="B6" s="72"/>
      <c r="C6" s="15"/>
      <c r="D6" s="15"/>
      <c r="E6" s="73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2:22">
      <c r="B7" s="15" t="s">
        <v>72</v>
      </c>
      <c r="C7" s="15"/>
      <c r="D7" s="15"/>
      <c r="E7" s="73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2:22">
      <c r="C8" s="15"/>
      <c r="D8" s="15"/>
      <c r="E8" s="8">
        <v>2008</v>
      </c>
      <c r="F8" s="8">
        <v>2009</v>
      </c>
      <c r="G8" s="8">
        <v>2010</v>
      </c>
      <c r="H8" s="8">
        <v>2011</v>
      </c>
      <c r="I8" s="8">
        <v>2012</v>
      </c>
      <c r="J8" s="8">
        <v>2013</v>
      </c>
      <c r="K8" s="8">
        <v>2014</v>
      </c>
      <c r="L8" s="8">
        <v>2015</v>
      </c>
      <c r="M8" s="8">
        <v>2016</v>
      </c>
      <c r="N8" s="8">
        <v>2017</v>
      </c>
      <c r="O8" s="1" t="s">
        <v>45</v>
      </c>
    </row>
    <row r="9" spans="2:22" s="2" customFormat="1" ht="30">
      <c r="B9" s="74"/>
      <c r="C9" s="75"/>
      <c r="D9" s="75"/>
      <c r="E9" s="75"/>
      <c r="F9" s="75"/>
      <c r="G9" s="75"/>
      <c r="H9" s="75"/>
      <c r="I9" s="75"/>
      <c r="J9" s="75"/>
      <c r="K9" s="4"/>
      <c r="L9" s="4"/>
      <c r="M9" s="4"/>
      <c r="N9" s="75"/>
      <c r="O9" s="75" t="s">
        <v>46</v>
      </c>
      <c r="T9" s="4"/>
      <c r="U9" s="4"/>
      <c r="V9" s="4"/>
    </row>
    <row r="10" spans="2:22" s="2" customFormat="1">
      <c r="B10" s="76" t="s">
        <v>63</v>
      </c>
      <c r="C10" s="75"/>
      <c r="D10" s="75"/>
      <c r="E10" s="77">
        <f>11500/1000</f>
        <v>11.5</v>
      </c>
      <c r="F10" s="77">
        <f>14040/1000</f>
        <v>14.04</v>
      </c>
      <c r="G10" s="77">
        <f>14040/1000</f>
        <v>14.04</v>
      </c>
      <c r="H10" s="77">
        <f>14742/1000</f>
        <v>14.742000000000001</v>
      </c>
      <c r="I10" s="77">
        <f>17518/1000</f>
        <v>17.518000000000001</v>
      </c>
      <c r="J10" s="77">
        <f>18115/1000</f>
        <v>18.114999999999998</v>
      </c>
      <c r="K10" s="77">
        <f>18115/1000</f>
        <v>18.114999999999998</v>
      </c>
      <c r="L10" s="77">
        <f>22178/1000</f>
        <v>22.178000000000001</v>
      </c>
      <c r="M10" s="77">
        <f>20350.2/1000</f>
        <v>20.350200000000001</v>
      </c>
      <c r="N10" s="77">
        <f>18684.4/1000</f>
        <v>18.6844</v>
      </c>
      <c r="O10" s="75"/>
    </row>
    <row r="11" spans="2:22" s="2" customFormat="1">
      <c r="B11" s="76" t="s">
        <v>0</v>
      </c>
      <c r="C11" s="75"/>
      <c r="D11" s="75"/>
      <c r="E11" s="78">
        <f>11892.9/1000</f>
        <v>11.892899999999999</v>
      </c>
      <c r="F11" s="78">
        <f xml:space="preserve"> 14040/1000</f>
        <v>14.04</v>
      </c>
      <c r="G11" s="77">
        <f>14040/1000</f>
        <v>14.04</v>
      </c>
      <c r="H11" s="77">
        <f>14742/1000</f>
        <v>14.742000000000001</v>
      </c>
      <c r="I11" s="77">
        <f>17518/1000</f>
        <v>17.518000000000001</v>
      </c>
      <c r="J11" s="77">
        <f>18112/1000</f>
        <v>18.111999999999998</v>
      </c>
      <c r="K11" s="77">
        <f>18601/1000</f>
        <v>18.600999999999999</v>
      </c>
      <c r="L11" s="78">
        <f>19244/1000</f>
        <v>19.244</v>
      </c>
      <c r="M11" s="79">
        <f>18600995/1000000</f>
        <v>18.600995000000001</v>
      </c>
      <c r="N11" s="77" t="s">
        <v>1</v>
      </c>
      <c r="O11" s="80" t="s">
        <v>44</v>
      </c>
      <c r="T11" s="12"/>
      <c r="U11" s="11"/>
      <c r="V11" s="12"/>
    </row>
    <row r="12" spans="2:22" s="2" customFormat="1">
      <c r="B12" s="76" t="s">
        <v>2</v>
      </c>
      <c r="C12" s="75"/>
      <c r="D12" s="75"/>
      <c r="E12" s="77">
        <f>11689/1000</f>
        <v>11.689</v>
      </c>
      <c r="F12" s="78">
        <f>14040/1000</f>
        <v>14.04</v>
      </c>
      <c r="G12" s="81">
        <f>14040/1000</f>
        <v>14.04</v>
      </c>
      <c r="H12" s="81">
        <f>14742/1000</f>
        <v>14.742000000000001</v>
      </c>
      <c r="I12" s="77">
        <f>17518/1000</f>
        <v>17.518000000000001</v>
      </c>
      <c r="J12" s="81">
        <f>18115/1000</f>
        <v>18.114999999999998</v>
      </c>
      <c r="K12" s="81">
        <f>18115/1000</f>
        <v>18.114999999999998</v>
      </c>
      <c r="L12" s="78">
        <f>22178/1000</f>
        <v>22.178000000000001</v>
      </c>
      <c r="M12" s="81">
        <f>20350/1000</f>
        <v>20.350000000000001</v>
      </c>
      <c r="N12" s="77" t="s">
        <v>1</v>
      </c>
      <c r="O12" s="75"/>
      <c r="T12" s="12"/>
      <c r="U12" s="11"/>
      <c r="V12" s="12"/>
    </row>
    <row r="13" spans="2:22" s="2" customFormat="1" ht="13.5" customHeight="1">
      <c r="B13" s="82" t="s">
        <v>3</v>
      </c>
      <c r="C13" s="75"/>
      <c r="D13" s="75"/>
      <c r="E13" s="75"/>
      <c r="F13" s="75"/>
      <c r="G13" s="75"/>
      <c r="H13" s="75"/>
      <c r="I13" s="75"/>
      <c r="J13" s="75"/>
      <c r="K13" s="75"/>
      <c r="L13" s="75">
        <v>0</v>
      </c>
      <c r="M13" s="83">
        <f>520/1000</f>
        <v>0.52</v>
      </c>
      <c r="N13" s="84">
        <f>2000/1000</f>
        <v>2</v>
      </c>
      <c r="O13" s="80" t="s">
        <v>43</v>
      </c>
      <c r="P13" s="31"/>
    </row>
    <row r="14" spans="2:22">
      <c r="B14" s="85" t="s">
        <v>57</v>
      </c>
      <c r="C14" s="15"/>
      <c r="D14" s="15"/>
      <c r="E14" s="86">
        <f>182030/1000</f>
        <v>182.03</v>
      </c>
      <c r="F14" s="86">
        <f>189803/1000</f>
        <v>189.803</v>
      </c>
      <c r="G14" s="38">
        <f>222243/1000</f>
        <v>222.24299999999999</v>
      </c>
      <c r="H14" s="87">
        <f>262706/1000</f>
        <v>262.70600000000002</v>
      </c>
      <c r="I14" s="86">
        <f>297933/1000</f>
        <v>297.93299999999999</v>
      </c>
      <c r="J14" s="86">
        <f>270251/1000</f>
        <v>270.25099999999998</v>
      </c>
      <c r="K14" s="86">
        <f>434300/1000</f>
        <v>434.3</v>
      </c>
      <c r="L14" s="86">
        <f>367179/1000</f>
        <v>367.17899999999997</v>
      </c>
      <c r="M14" s="86">
        <f>361295/1000</f>
        <v>361.29500000000002</v>
      </c>
      <c r="N14" s="86">
        <f>308893/1000</f>
        <v>308.89299999999997</v>
      </c>
      <c r="O14" s="15"/>
    </row>
    <row r="15" spans="2:22">
      <c r="B15" s="85" t="s">
        <v>4</v>
      </c>
      <c r="C15" s="15"/>
      <c r="D15" s="15"/>
      <c r="E15" s="86">
        <f>208366/1000</f>
        <v>208.36600000000001</v>
      </c>
      <c r="F15" s="87">
        <f>210798.9/1000</f>
        <v>210.7989</v>
      </c>
      <c r="G15" s="86">
        <f>233003/1000</f>
        <v>233.00299999999999</v>
      </c>
      <c r="H15" s="87">
        <f>341874/1000</f>
        <v>341.87400000000002</v>
      </c>
      <c r="I15" s="86">
        <f>324027/1000</f>
        <v>324.02699999999999</v>
      </c>
      <c r="J15" s="86">
        <f>356041/1000</f>
        <v>356.041</v>
      </c>
      <c r="K15" s="88">
        <f>422080/1000</f>
        <v>422.08</v>
      </c>
      <c r="L15" s="88">
        <f>375557/1000</f>
        <v>375.55700000000002</v>
      </c>
      <c r="M15" s="89">
        <f>444736937/1000000</f>
        <v>444.73693700000001</v>
      </c>
      <c r="N15" s="90" t="s">
        <v>1</v>
      </c>
      <c r="O15" s="80" t="s">
        <v>44</v>
      </c>
      <c r="P15" s="6"/>
    </row>
    <row r="16" spans="2:22">
      <c r="B16" s="85" t="s">
        <v>5</v>
      </c>
      <c r="C16" s="15"/>
      <c r="D16" s="15"/>
      <c r="E16" s="86">
        <f>198246/1000</f>
        <v>198.24600000000001</v>
      </c>
      <c r="F16" s="86">
        <f>194053/1000</f>
        <v>194.053</v>
      </c>
      <c r="G16" s="87">
        <f>224364/1000</f>
        <v>224.364</v>
      </c>
      <c r="H16" s="86">
        <f>326879/1000</f>
        <v>326.87900000000002</v>
      </c>
      <c r="I16" s="86">
        <f>297933/1000</f>
        <v>297.93299999999999</v>
      </c>
      <c r="J16" s="86">
        <f>270251/1000</f>
        <v>270.25099999999998</v>
      </c>
      <c r="K16" s="86">
        <f>346985/1000</f>
        <v>346.98500000000001</v>
      </c>
      <c r="L16" s="88">
        <f>367179/1000</f>
        <v>367.17899999999997</v>
      </c>
      <c r="M16" s="86">
        <f>361295/1000</f>
        <v>361.29500000000002</v>
      </c>
      <c r="N16" s="90" t="s">
        <v>1</v>
      </c>
      <c r="O16" s="15"/>
      <c r="P16" s="6"/>
    </row>
    <row r="17" spans="2:19">
      <c r="B17" s="91" t="s">
        <v>61</v>
      </c>
      <c r="C17" s="15"/>
      <c r="D17" s="15"/>
      <c r="E17" s="92">
        <f>174/1000</f>
        <v>0.17399999999999999</v>
      </c>
      <c r="F17" s="92">
        <f>174/1000</f>
        <v>0.17399999999999999</v>
      </c>
      <c r="G17" s="92">
        <f>537/1000</f>
        <v>0.53700000000000003</v>
      </c>
      <c r="H17" s="92">
        <f>803/1000</f>
        <v>0.80300000000000005</v>
      </c>
      <c r="I17" s="92">
        <f>988.3/1000</f>
        <v>0.98829999999999996</v>
      </c>
      <c r="J17" s="92">
        <f>998.6/1000</f>
        <v>0.99860000000000004</v>
      </c>
      <c r="K17" s="93">
        <f>1115.9/1000</f>
        <v>1.1159000000000001</v>
      </c>
      <c r="L17" s="93">
        <f>1551.2/1000</f>
        <v>1.5512000000000001</v>
      </c>
      <c r="M17" s="93">
        <f>1693.9/1000</f>
        <v>1.6939000000000002</v>
      </c>
      <c r="N17" s="93">
        <f>1402.2/1000</f>
        <v>1.4022000000000001</v>
      </c>
      <c r="O17" s="15"/>
      <c r="P17" s="6"/>
    </row>
    <row r="18" spans="2:19">
      <c r="B18" s="91" t="s">
        <v>62</v>
      </c>
      <c r="C18" s="15"/>
      <c r="D18" s="15"/>
      <c r="E18" s="92">
        <f>532.7/1000</f>
        <v>0.53270000000000006</v>
      </c>
      <c r="F18" s="92">
        <f>144.3/1000</f>
        <v>0.14430000000000001</v>
      </c>
      <c r="G18" s="92">
        <f>480.1/1000</f>
        <v>0.48010000000000003</v>
      </c>
      <c r="H18" s="92">
        <f>723.2/1000</f>
        <v>0.72320000000000007</v>
      </c>
      <c r="I18" s="92">
        <f>543.8/1000</f>
        <v>0.54379999999999995</v>
      </c>
      <c r="J18" s="92">
        <f>446.8/1000</f>
        <v>0.44680000000000003</v>
      </c>
      <c r="K18" s="93">
        <f>904.8/1000</f>
        <v>0.90479999999999994</v>
      </c>
      <c r="L18" s="93">
        <f>1068.3/1000</f>
        <v>1.0683</v>
      </c>
      <c r="M18" s="93" t="s">
        <v>1</v>
      </c>
      <c r="N18" s="93" t="s">
        <v>1</v>
      </c>
      <c r="O18" s="15"/>
      <c r="P18" s="6"/>
    </row>
    <row r="19" spans="2:19" ht="27.75" customHeight="1">
      <c r="B19" s="94" t="s">
        <v>6</v>
      </c>
      <c r="C19" s="15"/>
      <c r="D19" s="15"/>
      <c r="E19" s="95"/>
      <c r="F19" s="95"/>
      <c r="G19" s="95"/>
      <c r="H19" s="95">
        <f>0/1000</f>
        <v>0</v>
      </c>
      <c r="I19" s="95">
        <f>5000/1000</f>
        <v>5</v>
      </c>
      <c r="J19" s="95">
        <f>20000/1000</f>
        <v>20</v>
      </c>
      <c r="K19" s="95">
        <f>20000/1000</f>
        <v>20</v>
      </c>
      <c r="L19" s="95">
        <f>5000/1000</f>
        <v>5</v>
      </c>
      <c r="M19" s="95">
        <f>0/1000</f>
        <v>0</v>
      </c>
      <c r="N19" s="95">
        <f>1000/1000</f>
        <v>1</v>
      </c>
      <c r="O19" s="13"/>
    </row>
    <row r="20" spans="2:19" ht="28.5" customHeight="1">
      <c r="B20" s="94" t="s">
        <v>7</v>
      </c>
      <c r="C20" s="15"/>
      <c r="D20" s="15"/>
      <c r="E20" s="96"/>
      <c r="F20" s="96"/>
      <c r="G20" s="96"/>
      <c r="H20" s="96">
        <f>5800/1000</f>
        <v>5.8</v>
      </c>
      <c r="I20" s="96">
        <f>3000/1000</f>
        <v>3</v>
      </c>
      <c r="J20" s="96">
        <f>6500/1000</f>
        <v>6.5</v>
      </c>
      <c r="K20" s="96">
        <f>0/1000</f>
        <v>0</v>
      </c>
      <c r="L20" s="96">
        <f>0/1000</f>
        <v>0</v>
      </c>
      <c r="M20" s="96"/>
      <c r="N20" s="96"/>
      <c r="O20" s="15"/>
      <c r="P20" s="5"/>
    </row>
    <row r="21" spans="2:19">
      <c r="B21" s="97" t="s">
        <v>69</v>
      </c>
      <c r="C21" s="15"/>
      <c r="D21" s="15"/>
      <c r="E21" s="98">
        <f>11226.6/1000</f>
        <v>11.226600000000001</v>
      </c>
      <c r="F21" s="99">
        <f>14235.7/1000</f>
        <v>14.235700000000001</v>
      </c>
      <c r="G21" s="98">
        <f>14571.7/1000</f>
        <v>14.5717</v>
      </c>
      <c r="H21" s="98">
        <f>16172/1000</f>
        <v>16.172000000000001</v>
      </c>
      <c r="I21" s="98">
        <f>22819/1000</f>
        <v>22.818999999999999</v>
      </c>
      <c r="J21" s="99">
        <f>18415/1000</f>
        <v>18.414999999999999</v>
      </c>
      <c r="K21" s="100">
        <f>18000.9/1000</f>
        <v>18.000900000000001</v>
      </c>
      <c r="L21" s="98">
        <f>28989.4/1000</f>
        <v>28.9894</v>
      </c>
      <c r="M21" s="100">
        <f>23928/1000</f>
        <v>23.928000000000001</v>
      </c>
      <c r="N21" s="99">
        <f>17201/1000</f>
        <v>17.201000000000001</v>
      </c>
      <c r="O21" s="15"/>
      <c r="P21" s="3"/>
    </row>
    <row r="22" spans="2:19">
      <c r="B22" s="97" t="s">
        <v>70</v>
      </c>
      <c r="C22" s="15"/>
      <c r="D22" s="15"/>
      <c r="E22" s="98">
        <f>15764.9/1000</f>
        <v>15.764899999999999</v>
      </c>
      <c r="F22" s="98">
        <f>14235.7/1000</f>
        <v>14.235700000000001</v>
      </c>
      <c r="G22" s="98">
        <f>14571.7/1000</f>
        <v>14.5717</v>
      </c>
      <c r="H22" s="98">
        <f>16172/1000</f>
        <v>16.172000000000001</v>
      </c>
      <c r="I22" s="98">
        <f>17819/1000</f>
        <v>17.818999999999999</v>
      </c>
      <c r="J22" s="98">
        <f>23355/1000</f>
        <v>23.355</v>
      </c>
      <c r="K22" s="98">
        <f>19860/1000</f>
        <v>19.86</v>
      </c>
      <c r="L22" s="98">
        <f>19688.5/1000</f>
        <v>19.688500000000001</v>
      </c>
      <c r="M22" s="98">
        <f>22286769/1000000</f>
        <v>22.286769</v>
      </c>
      <c r="N22" s="98" t="s">
        <v>1</v>
      </c>
      <c r="O22" s="80" t="s">
        <v>44</v>
      </c>
      <c r="P22" s="3"/>
    </row>
    <row r="23" spans="2:19">
      <c r="B23" s="97" t="s">
        <v>71</v>
      </c>
      <c r="C23" s="15"/>
      <c r="D23" s="15"/>
      <c r="E23" s="98">
        <f>15276/1000</f>
        <v>15.276</v>
      </c>
      <c r="F23" s="98">
        <f>14236/1000</f>
        <v>14.236000000000001</v>
      </c>
      <c r="G23" s="101">
        <f>14572/1000</f>
        <v>14.571999999999999</v>
      </c>
      <c r="H23" s="101">
        <f>16172/1000</f>
        <v>16.172000000000001</v>
      </c>
      <c r="I23" s="101">
        <f>22819/1000</f>
        <v>22.818999999999999</v>
      </c>
      <c r="J23" s="101">
        <f>18415/1000</f>
        <v>18.414999999999999</v>
      </c>
      <c r="K23" s="101">
        <f>18001/1000</f>
        <v>18.001000000000001</v>
      </c>
      <c r="L23" s="98">
        <f>28989/1000</f>
        <v>28.989000000000001</v>
      </c>
      <c r="M23" s="98">
        <f>23928/1000</f>
        <v>23.928000000000001</v>
      </c>
      <c r="N23" s="98" t="s">
        <v>1</v>
      </c>
      <c r="O23" s="15"/>
      <c r="P23" s="3"/>
    </row>
    <row r="24" spans="2:19">
      <c r="B24" s="102" t="s">
        <v>8</v>
      </c>
      <c r="C24" s="15"/>
      <c r="D24" s="15"/>
      <c r="E24" s="103">
        <f>32225/1000</f>
        <v>32.225000000000001</v>
      </c>
      <c r="F24" s="103">
        <f>33627/1000</f>
        <v>33.627000000000002</v>
      </c>
      <c r="G24" s="103">
        <f>32705/1000</f>
        <v>32.704999999999998</v>
      </c>
      <c r="H24" s="104">
        <f>109834/1000</f>
        <v>109.834</v>
      </c>
      <c r="I24" s="103">
        <f>141345/1000</f>
        <v>141.345</v>
      </c>
      <c r="J24" s="103">
        <f>126364/1000</f>
        <v>126.364</v>
      </c>
      <c r="K24" s="103">
        <f>114839/1000</f>
        <v>114.839</v>
      </c>
      <c r="L24" s="105">
        <f>173631/1000</f>
        <v>173.631</v>
      </c>
      <c r="M24" s="105">
        <f>159400.1/1000</f>
        <v>159.40010000000001</v>
      </c>
      <c r="N24" s="105">
        <f>160166/1000</f>
        <v>160.166</v>
      </c>
      <c r="O24" s="15"/>
    </row>
    <row r="25" spans="2:19">
      <c r="B25" s="102" t="s">
        <v>9</v>
      </c>
      <c r="C25" s="15"/>
      <c r="D25" s="15"/>
      <c r="E25" s="103">
        <f>38274/1000</f>
        <v>38.274000000000001</v>
      </c>
      <c r="F25" s="103">
        <f>35492/1000</f>
        <v>35.491999999999997</v>
      </c>
      <c r="G25" s="105">
        <f>39063.4/1000</f>
        <v>39.063400000000001</v>
      </c>
      <c r="H25" s="103">
        <f>114233/1000</f>
        <v>114.233</v>
      </c>
      <c r="I25" s="103">
        <f>68212/1000</f>
        <v>68.212000000000003</v>
      </c>
      <c r="J25" s="103">
        <f>100440/1000</f>
        <v>100.44</v>
      </c>
      <c r="K25" s="105">
        <f>99660.5/1000</f>
        <v>99.660499999999999</v>
      </c>
      <c r="L25" s="103">
        <f>108511/1000</f>
        <v>108.511</v>
      </c>
      <c r="M25" s="105">
        <f>129261428/1000000</f>
        <v>129.261428</v>
      </c>
      <c r="N25" s="105" t="s">
        <v>1</v>
      </c>
      <c r="O25" s="80" t="s">
        <v>44</v>
      </c>
    </row>
    <row r="26" spans="2:19">
      <c r="B26" s="102" t="s">
        <v>10</v>
      </c>
      <c r="C26" s="15"/>
      <c r="D26" s="15"/>
      <c r="E26" s="103">
        <f>37622/1000</f>
        <v>37.622</v>
      </c>
      <c r="F26" s="103">
        <f>35127/1000</f>
        <v>35.127000000000002</v>
      </c>
      <c r="G26" s="103">
        <f>36352/1000</f>
        <v>36.351999999999997</v>
      </c>
      <c r="H26" s="103">
        <f>119817/1000</f>
        <v>119.81699999999999</v>
      </c>
      <c r="I26" s="106">
        <f>141345/1000</f>
        <v>141.345</v>
      </c>
      <c r="J26" s="106">
        <f>119156/1000</f>
        <v>119.15600000000001</v>
      </c>
      <c r="K26" s="106">
        <f>114839/1000</f>
        <v>114.839</v>
      </c>
      <c r="L26" s="103">
        <f>172492/1000</f>
        <v>172.49199999999999</v>
      </c>
      <c r="M26" s="103">
        <f>159400/1000</f>
        <v>159.4</v>
      </c>
      <c r="N26" s="106" t="s">
        <v>1</v>
      </c>
      <c r="O26" s="15"/>
    </row>
    <row r="27" spans="2:19">
      <c r="B27" s="107" t="s">
        <v>11</v>
      </c>
      <c r="C27" s="15"/>
      <c r="D27" s="15"/>
      <c r="E27" s="108"/>
      <c r="F27" s="108"/>
      <c r="G27" s="108"/>
      <c r="H27" s="108"/>
      <c r="I27" s="109"/>
      <c r="J27" s="109"/>
      <c r="K27" s="110">
        <f>650000/1000000</f>
        <v>0.65</v>
      </c>
      <c r="L27" s="110">
        <f>673800/1000000</f>
        <v>0.67379999999999995</v>
      </c>
      <c r="M27" s="110">
        <f>641700/1000000</f>
        <v>0.64170000000000005</v>
      </c>
      <c r="N27" s="110">
        <f>477200/1000000</f>
        <v>0.47720000000000001</v>
      </c>
      <c r="O27" s="15"/>
      <c r="P27" s="41"/>
      <c r="Q27" s="41"/>
      <c r="R27" s="41"/>
      <c r="S27" s="42"/>
    </row>
    <row r="28" spans="2:19">
      <c r="B28" s="107" t="s">
        <v>12</v>
      </c>
      <c r="C28" s="15"/>
      <c r="D28" s="15"/>
      <c r="E28" s="108"/>
      <c r="F28" s="108"/>
      <c r="G28" s="108"/>
      <c r="H28" s="108"/>
      <c r="I28" s="109"/>
      <c r="J28" s="109"/>
      <c r="K28" s="110">
        <f>276400/1000000</f>
        <v>0.27639999999999998</v>
      </c>
      <c r="L28" s="110">
        <f>249400/1000000</f>
        <v>0.24940000000000001</v>
      </c>
      <c r="M28" s="111"/>
      <c r="N28" s="112"/>
      <c r="O28" s="15"/>
      <c r="P28" s="43"/>
      <c r="Q28" s="43"/>
      <c r="R28" s="43"/>
      <c r="S28" s="42"/>
    </row>
    <row r="29" spans="2:19">
      <c r="B29" s="15"/>
      <c r="C29" s="15"/>
      <c r="D29" s="15"/>
      <c r="E29" s="15"/>
      <c r="F29" s="15"/>
      <c r="G29" s="113"/>
      <c r="H29" s="15"/>
      <c r="I29" s="15"/>
      <c r="J29" s="15"/>
      <c r="K29" s="15"/>
      <c r="L29" s="15"/>
      <c r="M29" s="15"/>
      <c r="N29" s="15"/>
      <c r="O29" s="15"/>
      <c r="P29" s="43"/>
      <c r="Q29" s="43"/>
      <c r="R29" s="43"/>
      <c r="S29" s="42"/>
    </row>
    <row r="30" spans="2:19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14"/>
      <c r="N30" s="15"/>
      <c r="O30" s="15"/>
      <c r="P30" s="43"/>
      <c r="Q30" s="43"/>
      <c r="R30" s="43"/>
      <c r="S30" s="42"/>
    </row>
    <row r="31" spans="2:19">
      <c r="B31" s="166"/>
      <c r="C31" s="15"/>
      <c r="D31" s="20" t="s">
        <v>13</v>
      </c>
      <c r="E31" s="15" t="s">
        <v>14</v>
      </c>
      <c r="F31" s="15"/>
      <c r="G31" s="114"/>
      <c r="H31" s="15"/>
      <c r="I31" s="15"/>
      <c r="J31" s="15"/>
      <c r="K31" s="15"/>
      <c r="L31" s="114"/>
      <c r="M31" s="113"/>
      <c r="N31" s="15"/>
      <c r="O31" s="15"/>
      <c r="P31" s="43"/>
      <c r="Q31" s="43"/>
      <c r="R31" s="43"/>
      <c r="S31" s="42"/>
    </row>
    <row r="32" spans="2:19">
      <c r="B32" s="15"/>
      <c r="C32" s="15"/>
      <c r="D32" s="115" t="s">
        <v>15</v>
      </c>
      <c r="E32" s="23">
        <v>2008</v>
      </c>
      <c r="F32" s="23">
        <v>2009</v>
      </c>
      <c r="G32" s="23">
        <v>2010</v>
      </c>
      <c r="H32" s="23">
        <v>2011</v>
      </c>
      <c r="I32" s="23">
        <v>2012</v>
      </c>
      <c r="J32" s="23">
        <v>2013</v>
      </c>
      <c r="K32" s="23">
        <v>2014</v>
      </c>
      <c r="L32" s="23">
        <v>2015</v>
      </c>
      <c r="M32" s="23">
        <v>2016</v>
      </c>
      <c r="N32" s="23">
        <v>2017</v>
      </c>
      <c r="O32" s="15"/>
    </row>
    <row r="33" spans="2:15">
      <c r="B33" s="15"/>
      <c r="C33" s="15"/>
      <c r="D33" s="71" t="s">
        <v>16</v>
      </c>
      <c r="E33" s="116">
        <f t="shared" ref="E33:N33" si="0">E10/E76</f>
        <v>17.51836492316642</v>
      </c>
      <c r="F33" s="116">
        <f t="shared" si="0"/>
        <v>20.004651793345321</v>
      </c>
      <c r="G33" s="116">
        <f t="shared" si="0"/>
        <v>19.033480554776645</v>
      </c>
      <c r="H33" s="116">
        <f t="shared" si="0"/>
        <v>19.135389894216832</v>
      </c>
      <c r="I33" s="116">
        <f t="shared" si="0"/>
        <v>21.751769601732239</v>
      </c>
      <c r="J33" s="116">
        <f t="shared" si="0"/>
        <v>21.430074255468931</v>
      </c>
      <c r="K33" s="116">
        <f t="shared" si="0"/>
        <v>20.354013365250708</v>
      </c>
      <c r="L33" s="116">
        <f t="shared" si="0"/>
        <v>23.508665786282538</v>
      </c>
      <c r="M33" s="116">
        <f t="shared" si="0"/>
        <v>20.350200000000001</v>
      </c>
      <c r="N33" s="116">
        <f t="shared" si="0"/>
        <v>17.794663970190463</v>
      </c>
      <c r="O33" s="15"/>
    </row>
    <row r="34" spans="2:15">
      <c r="B34" s="15"/>
      <c r="C34" s="15"/>
      <c r="D34" s="71" t="s">
        <v>17</v>
      </c>
      <c r="E34" s="116">
        <f t="shared" ref="E34:M34" si="1">E11/E76</f>
        <v>18.116883669106599</v>
      </c>
      <c r="F34" s="116">
        <f t="shared" si="1"/>
        <v>20.004651793345321</v>
      </c>
      <c r="G34" s="116">
        <f t="shared" si="1"/>
        <v>19.033480554776645</v>
      </c>
      <c r="H34" s="116">
        <f t="shared" si="1"/>
        <v>19.135389894216832</v>
      </c>
      <c r="I34" s="116">
        <f t="shared" si="1"/>
        <v>21.751769601732239</v>
      </c>
      <c r="J34" s="116">
        <f t="shared" si="1"/>
        <v>21.426525250623971</v>
      </c>
      <c r="K34" s="116">
        <f t="shared" si="1"/>
        <v>20.900082948221275</v>
      </c>
      <c r="L34" s="116">
        <f t="shared" si="1"/>
        <v>20.398627666661607</v>
      </c>
      <c r="M34" s="116">
        <f t="shared" si="1"/>
        <v>18.600995000000001</v>
      </c>
      <c r="N34" s="116"/>
      <c r="O34" s="80"/>
    </row>
    <row r="35" spans="2:1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2:15">
      <c r="B36" s="15"/>
      <c r="C36" s="15"/>
      <c r="D36" s="20" t="s">
        <v>18</v>
      </c>
      <c r="E36" s="15" t="s">
        <v>14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2:15">
      <c r="B37" s="15"/>
      <c r="C37" s="15"/>
      <c r="D37" s="117" t="s">
        <v>15</v>
      </c>
      <c r="E37" s="22">
        <v>2008</v>
      </c>
      <c r="F37" s="22">
        <v>2009</v>
      </c>
      <c r="G37" s="22">
        <v>2010</v>
      </c>
      <c r="H37" s="22">
        <v>2011</v>
      </c>
      <c r="I37" s="22">
        <v>2012</v>
      </c>
      <c r="J37" s="22">
        <v>2013</v>
      </c>
      <c r="K37" s="22">
        <v>2014</v>
      </c>
      <c r="L37" s="22">
        <v>2015</v>
      </c>
      <c r="M37" s="22">
        <v>2016</v>
      </c>
      <c r="N37" s="22">
        <v>2017</v>
      </c>
      <c r="O37" s="15"/>
    </row>
    <row r="38" spans="2:15">
      <c r="B38" s="15"/>
      <c r="C38" s="15"/>
      <c r="D38" s="70" t="s">
        <v>16</v>
      </c>
      <c r="E38" s="118">
        <f t="shared" ref="E38:N38" si="2">E17/E76</f>
        <v>0.26506047796790927</v>
      </c>
      <c r="F38" s="118">
        <f t="shared" si="2"/>
        <v>0.24792089829359584</v>
      </c>
      <c r="G38" s="118">
        <f t="shared" si="2"/>
        <v>0.72798996138996153</v>
      </c>
      <c r="H38" s="118">
        <f t="shared" si="2"/>
        <v>1.042308919078559</v>
      </c>
      <c r="I38" s="118">
        <f t="shared" si="2"/>
        <v>1.2271534363164727</v>
      </c>
      <c r="J38" s="118">
        <f t="shared" si="2"/>
        <v>1.1813454127248841</v>
      </c>
      <c r="K38" s="118">
        <f t="shared" si="2"/>
        <v>1.2538252008988831</v>
      </c>
      <c r="L38" s="118">
        <f t="shared" si="2"/>
        <v>1.6442710058473025</v>
      </c>
      <c r="M38" s="118">
        <f t="shared" si="2"/>
        <v>1.6939000000000002</v>
      </c>
      <c r="N38" s="118">
        <f t="shared" si="2"/>
        <v>1.3354283690673006</v>
      </c>
      <c r="O38" s="15"/>
    </row>
    <row r="39" spans="2:15">
      <c r="B39" s="15"/>
      <c r="C39" s="15"/>
      <c r="D39" s="70" t="s">
        <v>17</v>
      </c>
      <c r="E39" s="118">
        <f t="shared" ref="E39:L39" si="3">E18/E76</f>
        <v>0.81148112996267419</v>
      </c>
      <c r="F39" s="118">
        <f t="shared" si="3"/>
        <v>0.20560336565382692</v>
      </c>
      <c r="G39" s="118">
        <f t="shared" si="3"/>
        <v>0.65085285002480542</v>
      </c>
      <c r="H39" s="118">
        <f t="shared" si="3"/>
        <v>0.93872703646029132</v>
      </c>
      <c r="I39" s="118">
        <f t="shared" si="3"/>
        <v>0.67522618503379317</v>
      </c>
      <c r="J39" s="118">
        <f t="shared" si="3"/>
        <v>0.52856512157568425</v>
      </c>
      <c r="K39" s="118">
        <f t="shared" si="3"/>
        <v>1.0166332482958234</v>
      </c>
      <c r="L39" s="118">
        <f t="shared" si="3"/>
        <v>1.1323973153343689</v>
      </c>
      <c r="M39" s="118"/>
      <c r="N39" s="118"/>
      <c r="O39" s="15"/>
    </row>
    <row r="40" spans="2:15" s="7" customFormat="1">
      <c r="B40" s="119"/>
      <c r="C40" s="119"/>
      <c r="D40" s="120"/>
      <c r="E40" s="119"/>
      <c r="F40" s="119"/>
      <c r="G40" s="119"/>
      <c r="H40" s="119"/>
      <c r="I40" s="119"/>
      <c r="J40" s="119"/>
      <c r="K40" s="119"/>
      <c r="L40" s="119"/>
      <c r="M40" s="121"/>
      <c r="N40" s="121"/>
      <c r="O40" s="119"/>
    </row>
    <row r="41" spans="2:15">
      <c r="B41" s="15"/>
      <c r="C41" s="15"/>
      <c r="D41" s="20" t="s">
        <v>49</v>
      </c>
      <c r="E41" s="15" t="s">
        <v>14</v>
      </c>
      <c r="F41" s="15"/>
      <c r="G41" s="15"/>
      <c r="H41" s="15"/>
      <c r="I41" s="15"/>
      <c r="J41" s="15"/>
      <c r="K41" s="15"/>
      <c r="L41" s="15"/>
      <c r="M41" s="122"/>
      <c r="N41" s="15"/>
      <c r="O41" s="15"/>
    </row>
    <row r="42" spans="2:15">
      <c r="B42" s="15"/>
      <c r="C42" s="15"/>
      <c r="D42" s="123" t="s">
        <v>15</v>
      </c>
      <c r="E42" s="21">
        <v>2008</v>
      </c>
      <c r="F42" s="21">
        <v>2009</v>
      </c>
      <c r="G42" s="21">
        <v>2010</v>
      </c>
      <c r="H42" s="21">
        <v>2011</v>
      </c>
      <c r="I42" s="21">
        <v>2012</v>
      </c>
      <c r="J42" s="21">
        <v>2013</v>
      </c>
      <c r="K42" s="21">
        <v>2014</v>
      </c>
      <c r="L42" s="21">
        <v>2015</v>
      </c>
      <c r="M42" s="21">
        <v>2016</v>
      </c>
      <c r="N42" s="21">
        <v>2017</v>
      </c>
      <c r="O42" s="15"/>
    </row>
    <row r="43" spans="2:15">
      <c r="B43" s="15"/>
      <c r="C43" s="15"/>
      <c r="D43" s="123" t="s">
        <v>16</v>
      </c>
      <c r="E43" s="124">
        <f t="shared" ref="E43:N43" si="4">E21/E76</f>
        <v>17.101884838819142</v>
      </c>
      <c r="F43" s="124">
        <f t="shared" si="4"/>
        <v>20.283491562288177</v>
      </c>
      <c r="G43" s="124">
        <f t="shared" si="4"/>
        <v>19.75428551282328</v>
      </c>
      <c r="H43" s="124">
        <f t="shared" si="4"/>
        <v>20.991556462438925</v>
      </c>
      <c r="I43" s="124">
        <f t="shared" si="4"/>
        <v>28.33392114065121</v>
      </c>
      <c r="J43" s="124">
        <f t="shared" si="4"/>
        <v>21.784974739964689</v>
      </c>
      <c r="K43" s="124">
        <f t="shared" si="4"/>
        <v>20.225810609248771</v>
      </c>
      <c r="L43" s="124">
        <f t="shared" si="4"/>
        <v>30.728745420906257</v>
      </c>
      <c r="M43" s="124">
        <f t="shared" si="4"/>
        <v>23.928000000000001</v>
      </c>
      <c r="N43" s="124">
        <f t="shared" si="4"/>
        <v>16.38190227950837</v>
      </c>
      <c r="O43" s="15"/>
    </row>
    <row r="44" spans="2:15">
      <c r="B44" s="15"/>
      <c r="C44" s="15"/>
      <c r="D44" s="123" t="s">
        <v>17</v>
      </c>
      <c r="E44" s="124">
        <f t="shared" ref="E44:M44" si="5">E22/E76</f>
        <v>24.01524097193272</v>
      </c>
      <c r="F44" s="124">
        <f t="shared" si="5"/>
        <v>20.283491562288177</v>
      </c>
      <c r="G44" s="124">
        <f t="shared" si="5"/>
        <v>19.75428551282328</v>
      </c>
      <c r="H44" s="124">
        <f t="shared" si="5"/>
        <v>20.991556462438925</v>
      </c>
      <c r="I44" s="124">
        <f t="shared" si="5"/>
        <v>22.125515614411846</v>
      </c>
      <c r="J44" s="124">
        <f t="shared" si="5"/>
        <v>27.629002717994862</v>
      </c>
      <c r="K44" s="124">
        <f t="shared" si="5"/>
        <v>22.314695304105939</v>
      </c>
      <c r="L44" s="124">
        <f t="shared" si="5"/>
        <v>20.869797381784821</v>
      </c>
      <c r="M44" s="124">
        <f t="shared" si="5"/>
        <v>22.286769</v>
      </c>
      <c r="N44" s="124"/>
      <c r="O44" s="80"/>
    </row>
    <row r="45" spans="2:15" ht="15.75" customHeight="1">
      <c r="B45" s="15"/>
      <c r="C45" s="125"/>
      <c r="D45" s="125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5"/>
    </row>
    <row r="46" spans="2:15" ht="17.25" customHeight="1">
      <c r="B46" s="15"/>
      <c r="C46" s="125"/>
      <c r="D46" s="20" t="s">
        <v>64</v>
      </c>
      <c r="E46" s="16"/>
      <c r="F46" s="15" t="s">
        <v>14</v>
      </c>
      <c r="G46" s="15"/>
      <c r="H46" s="15"/>
      <c r="I46" s="15"/>
      <c r="J46" s="15"/>
      <c r="K46" s="15"/>
      <c r="L46" s="15"/>
      <c r="M46" s="15"/>
      <c r="N46" s="15"/>
      <c r="O46" s="15"/>
    </row>
    <row r="47" spans="2:15">
      <c r="B47" s="15"/>
      <c r="C47" s="15"/>
      <c r="D47" s="69" t="s">
        <v>15</v>
      </c>
      <c r="E47" s="19">
        <v>2008</v>
      </c>
      <c r="F47" s="19">
        <v>2009</v>
      </c>
      <c r="G47" s="19">
        <v>2010</v>
      </c>
      <c r="H47" s="19">
        <v>2011</v>
      </c>
      <c r="I47" s="19">
        <v>2012</v>
      </c>
      <c r="J47" s="19">
        <v>2013</v>
      </c>
      <c r="K47" s="19">
        <v>2014</v>
      </c>
      <c r="L47" s="19">
        <v>2015</v>
      </c>
      <c r="M47" s="19">
        <v>2016</v>
      </c>
      <c r="N47" s="19">
        <v>2017</v>
      </c>
      <c r="O47" s="15"/>
    </row>
    <row r="48" spans="2:15" ht="16.5" customHeight="1">
      <c r="B48" s="15"/>
      <c r="C48" s="16"/>
      <c r="D48" s="69" t="s">
        <v>16</v>
      </c>
      <c r="E48" s="126">
        <f>(E21+E17+E13+E19+E10)/E76</f>
        <v>34.885310239953469</v>
      </c>
      <c r="F48" s="126">
        <f>(F21+F17+F13+F19+F10)/F76</f>
        <v>40.536064253927094</v>
      </c>
      <c r="G48" s="126">
        <f>(G21+G17+G13+G19+G10)/G76</f>
        <v>39.515756028989884</v>
      </c>
      <c r="H48" s="126">
        <f>(H21+H17+H13+H19+H10)/H76</f>
        <v>41.169255275734315</v>
      </c>
      <c r="I48" s="126">
        <f t="shared" ref="I48:N48" si="6">(I21+I17+I13+I19+I10+I27)/I76</f>
        <v>57.521249704939279</v>
      </c>
      <c r="J48" s="126">
        <f t="shared" si="6"/>
        <v>68.056426707875787</v>
      </c>
      <c r="K48" s="126">
        <f t="shared" si="6"/>
        <v>65.035988451822703</v>
      </c>
      <c r="L48" s="126">
        <f t="shared" si="6"/>
        <v>61.895906576739307</v>
      </c>
      <c r="M48" s="126">
        <f t="shared" si="6"/>
        <v>47.133800000000001</v>
      </c>
      <c r="N48" s="126">
        <f t="shared" si="6"/>
        <v>38.823613164566176</v>
      </c>
      <c r="O48" s="15"/>
    </row>
    <row r="49" spans="2:15" ht="16.5" customHeight="1">
      <c r="B49" s="15"/>
      <c r="C49" s="15"/>
      <c r="D49" s="69" t="s">
        <v>17</v>
      </c>
      <c r="E49" s="126">
        <f>E34+E39+E44+(E20/E76)</f>
        <v>42.943605771001998</v>
      </c>
      <c r="F49" s="126">
        <f>F34+F39+F44+(F20/F76)</f>
        <v>40.493746721287323</v>
      </c>
      <c r="G49" s="126">
        <f>G34+G39+G44+(G20/G76)</f>
        <v>39.43861891762473</v>
      </c>
      <c r="H49" s="126">
        <f>H34+H39+H44+(H20/H76)</f>
        <v>48.594181152338521</v>
      </c>
      <c r="I49" s="126">
        <f>I34+I39+I44+((I20+I28)/I76)</f>
        <v>48.2775547169215</v>
      </c>
      <c r="J49" s="126">
        <f>J34+J39+J44+((J20+J28)/J76)</f>
        <v>57.273603587602629</v>
      </c>
      <c r="K49" s="126">
        <f>K34+K39+K44+((K20+K28)/K76)</f>
        <v>44.541974530937985</v>
      </c>
      <c r="L49" s="126">
        <f>L34+L39+L44+((L20+L28)/L76)</f>
        <v>42.66518620394217</v>
      </c>
      <c r="M49" s="126"/>
      <c r="N49" s="126"/>
      <c r="O49" s="10"/>
    </row>
    <row r="50" spans="2:15" ht="16.5" customHeight="1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2:15">
      <c r="B51" s="15"/>
      <c r="C51" s="15"/>
      <c r="D51" s="20" t="s">
        <v>19</v>
      </c>
      <c r="E51" s="15" t="s">
        <v>14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2:15">
      <c r="B52" s="15"/>
      <c r="C52" s="15"/>
      <c r="D52" s="127" t="s">
        <v>15</v>
      </c>
      <c r="E52" s="18">
        <v>2008</v>
      </c>
      <c r="F52" s="18">
        <v>2009</v>
      </c>
      <c r="G52" s="18">
        <v>2010</v>
      </c>
      <c r="H52" s="18">
        <v>2011</v>
      </c>
      <c r="I52" s="18">
        <v>2012</v>
      </c>
      <c r="J52" s="18">
        <v>2013</v>
      </c>
      <c r="K52" s="18">
        <v>2014</v>
      </c>
      <c r="L52" s="18">
        <v>2015</v>
      </c>
      <c r="M52" s="18">
        <v>2016</v>
      </c>
      <c r="N52" s="18">
        <v>2017</v>
      </c>
      <c r="O52" s="15"/>
    </row>
    <row r="53" spans="2:15">
      <c r="B53" s="15"/>
      <c r="C53" s="15"/>
      <c r="D53" s="127" t="s">
        <v>16</v>
      </c>
      <c r="E53" s="128">
        <f t="shared" ref="E53:N53" si="7">E24/E76</f>
        <v>49.089505186872856</v>
      </c>
      <c r="F53" s="128">
        <f t="shared" si="7"/>
        <v>47.912850844360626</v>
      </c>
      <c r="G53" s="128">
        <f t="shared" si="7"/>
        <v>44.336893272362545</v>
      </c>
      <c r="H53" s="128">
        <f t="shared" si="7"/>
        <v>142.56657262524837</v>
      </c>
      <c r="I53" s="128">
        <f t="shared" si="7"/>
        <v>175.50541582126058</v>
      </c>
      <c r="J53" s="128">
        <f t="shared" si="7"/>
        <v>149.48881607607376</v>
      </c>
      <c r="K53" s="128">
        <f t="shared" si="7"/>
        <v>129.0330963760434</v>
      </c>
      <c r="L53" s="128">
        <f t="shared" si="7"/>
        <v>184.04874872116616</v>
      </c>
      <c r="M53" s="128">
        <f t="shared" si="7"/>
        <v>159.40010000000001</v>
      </c>
      <c r="N53" s="128">
        <f t="shared" si="7"/>
        <v>152.539024504374</v>
      </c>
      <c r="O53" s="15"/>
    </row>
    <row r="54" spans="2:15">
      <c r="B54" s="15"/>
      <c r="C54" s="15"/>
      <c r="D54" s="127" t="s">
        <v>17</v>
      </c>
      <c r="E54" s="128">
        <f t="shared" ref="E54:M54" si="8">E25/E76</f>
        <v>58.304165136458394</v>
      </c>
      <c r="F54" s="128">
        <f t="shared" si="8"/>
        <v>50.570163920898295</v>
      </c>
      <c r="G54" s="128">
        <f t="shared" si="8"/>
        <v>52.956728226742314</v>
      </c>
      <c r="H54" s="128">
        <f t="shared" si="8"/>
        <v>148.27655635504487</v>
      </c>
      <c r="I54" s="128">
        <f t="shared" si="8"/>
        <v>84.697551551167905</v>
      </c>
      <c r="J54" s="128">
        <f t="shared" si="8"/>
        <v>118.82068220918021</v>
      </c>
      <c r="K54" s="128">
        <f t="shared" si="8"/>
        <v>111.97853430789777</v>
      </c>
      <c r="L54" s="128">
        <f t="shared" si="8"/>
        <v>115.02159045609633</v>
      </c>
      <c r="M54" s="128">
        <f t="shared" si="8"/>
        <v>129.261428</v>
      </c>
      <c r="N54" s="128"/>
      <c r="O54" s="80"/>
    </row>
    <row r="55" spans="2:15">
      <c r="B55" s="15"/>
      <c r="C55" s="15"/>
      <c r="D55" s="127" t="s">
        <v>20</v>
      </c>
      <c r="E55" s="128">
        <f>E49</f>
        <v>42.943605771001998</v>
      </c>
      <c r="F55" s="128">
        <f t="shared" ref="F55:L55" si="9">F49</f>
        <v>40.493746721287323</v>
      </c>
      <c r="G55" s="128">
        <f t="shared" si="9"/>
        <v>39.43861891762473</v>
      </c>
      <c r="H55" s="128">
        <f t="shared" si="9"/>
        <v>48.594181152338521</v>
      </c>
      <c r="I55" s="128">
        <f t="shared" si="9"/>
        <v>48.2775547169215</v>
      </c>
      <c r="J55" s="128">
        <f t="shared" si="9"/>
        <v>57.273603587602629</v>
      </c>
      <c r="K55" s="128">
        <f t="shared" si="9"/>
        <v>44.541974530937985</v>
      </c>
      <c r="L55" s="128">
        <f t="shared" si="9"/>
        <v>42.66518620394217</v>
      </c>
      <c r="M55" s="65">
        <f>M48</f>
        <v>47.133800000000001</v>
      </c>
      <c r="N55" s="65">
        <f>N48</f>
        <v>38.823613164566176</v>
      </c>
      <c r="O55" s="15" t="s">
        <v>55</v>
      </c>
    </row>
    <row r="56" spans="2:15" s="7" customFormat="1">
      <c r="B56" s="119"/>
      <c r="C56" s="119"/>
      <c r="D56" s="129"/>
      <c r="E56" s="130"/>
      <c r="F56" s="130"/>
      <c r="G56" s="130"/>
      <c r="H56" s="130"/>
      <c r="I56" s="130"/>
      <c r="J56" s="130"/>
      <c r="K56" s="130"/>
      <c r="L56" s="130"/>
      <c r="M56" s="34"/>
      <c r="N56" s="34"/>
      <c r="O56" s="119"/>
    </row>
    <row r="57" spans="2:15">
      <c r="B57" s="15"/>
      <c r="C57" s="15"/>
      <c r="D57" s="20" t="s">
        <v>58</v>
      </c>
      <c r="E57" s="15" t="s">
        <v>14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2:15">
      <c r="B58" s="15"/>
      <c r="C58" s="15"/>
      <c r="D58" s="64"/>
      <c r="E58" s="17">
        <v>2008</v>
      </c>
      <c r="F58" s="17">
        <v>2009</v>
      </c>
      <c r="G58" s="17">
        <v>2010</v>
      </c>
      <c r="H58" s="17">
        <v>2011</v>
      </c>
      <c r="I58" s="17">
        <v>2012</v>
      </c>
      <c r="J58" s="17">
        <v>2013</v>
      </c>
      <c r="K58" s="17">
        <v>2014</v>
      </c>
      <c r="L58" s="17">
        <v>2015</v>
      </c>
      <c r="M58" s="17">
        <v>2016</v>
      </c>
      <c r="N58" s="17">
        <v>2017</v>
      </c>
      <c r="O58" s="15"/>
    </row>
    <row r="59" spans="2:15">
      <c r="B59" s="15"/>
      <c r="C59" s="15"/>
      <c r="D59" s="64" t="s">
        <v>21</v>
      </c>
      <c r="E59" s="131">
        <f t="shared" ref="E59:N59" si="10">E14/E76</f>
        <v>277.29286669252031</v>
      </c>
      <c r="F59" s="131">
        <f t="shared" si="10"/>
        <v>270.43753022309983</v>
      </c>
      <c r="G59" s="131">
        <f t="shared" si="10"/>
        <v>301.28616943983093</v>
      </c>
      <c r="H59" s="131">
        <f t="shared" si="10"/>
        <v>340.99726886108584</v>
      </c>
      <c r="I59" s="131">
        <f t="shared" si="10"/>
        <v>369.93777672981452</v>
      </c>
      <c r="J59" s="131">
        <f t="shared" si="10"/>
        <v>319.70736945154476</v>
      </c>
      <c r="K59" s="131">
        <f t="shared" si="10"/>
        <v>487.97946478213538</v>
      </c>
      <c r="L59" s="131">
        <f t="shared" si="10"/>
        <v>389.20950467767318</v>
      </c>
      <c r="M59" s="131">
        <f t="shared" si="10"/>
        <v>361.29500000000002</v>
      </c>
      <c r="N59" s="131">
        <f t="shared" si="10"/>
        <v>294.18376494530423</v>
      </c>
      <c r="O59" s="15"/>
    </row>
    <row r="60" spans="2:15">
      <c r="B60" s="15"/>
      <c r="C60" s="15"/>
      <c r="D60" s="64" t="s">
        <v>22</v>
      </c>
      <c r="E60" s="131">
        <f t="shared" ref="E60:M60" si="11">E15/E76</f>
        <v>317.41144570265169</v>
      </c>
      <c r="F60" s="131">
        <f t="shared" si="11"/>
        <v>300.35317613391885</v>
      </c>
      <c r="G60" s="131">
        <f t="shared" si="11"/>
        <v>315.8730818877936</v>
      </c>
      <c r="H60" s="131">
        <f t="shared" si="11"/>
        <v>443.75880373731417</v>
      </c>
      <c r="I60" s="131">
        <f t="shared" si="11"/>
        <v>402.33820349015247</v>
      </c>
      <c r="J60" s="131">
        <f t="shared" si="11"/>
        <v>421.19707800118209</v>
      </c>
      <c r="K60" s="131">
        <f t="shared" si="11"/>
        <v>474.24907321032396</v>
      </c>
      <c r="L60" s="131">
        <f t="shared" si="11"/>
        <v>398.09017930827446</v>
      </c>
      <c r="M60" s="131">
        <f t="shared" si="11"/>
        <v>444.73693700000001</v>
      </c>
      <c r="N60" s="131"/>
      <c r="O60" s="15"/>
    </row>
    <row r="61" spans="2:15">
      <c r="B61" s="15"/>
      <c r="C61" s="15"/>
      <c r="D61" s="64" t="s">
        <v>20</v>
      </c>
      <c r="E61" s="131">
        <f t="shared" ref="E61:L61" si="12">E49</f>
        <v>42.943605771001998</v>
      </c>
      <c r="F61" s="131">
        <f t="shared" si="12"/>
        <v>40.493746721287323</v>
      </c>
      <c r="G61" s="131">
        <f t="shared" si="12"/>
        <v>39.43861891762473</v>
      </c>
      <c r="H61" s="131">
        <f t="shared" si="12"/>
        <v>48.594181152338521</v>
      </c>
      <c r="I61" s="131">
        <f t="shared" si="12"/>
        <v>48.2775547169215</v>
      </c>
      <c r="J61" s="131">
        <f t="shared" si="12"/>
        <v>57.273603587602629</v>
      </c>
      <c r="K61" s="131">
        <f t="shared" si="12"/>
        <v>44.541974530937985</v>
      </c>
      <c r="L61" s="131">
        <f t="shared" si="12"/>
        <v>42.66518620394217</v>
      </c>
      <c r="M61" s="66">
        <f>M48</f>
        <v>47.133800000000001</v>
      </c>
      <c r="N61" s="66">
        <f>N48</f>
        <v>38.823613164566176</v>
      </c>
      <c r="O61" s="15" t="s">
        <v>55</v>
      </c>
    </row>
    <row r="62" spans="2:15">
      <c r="B62" s="15"/>
      <c r="C62" s="15"/>
      <c r="D62" s="129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5"/>
    </row>
    <row r="63" spans="2:15">
      <c r="B63" s="15"/>
      <c r="C63" s="15"/>
      <c r="D63" s="1" t="s">
        <v>23</v>
      </c>
      <c r="E63" s="1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2:15">
      <c r="B64" s="15"/>
      <c r="C64" s="15"/>
      <c r="D64" s="132"/>
      <c r="E64" s="39">
        <v>2008</v>
      </c>
      <c r="F64" s="39">
        <v>2009</v>
      </c>
      <c r="G64" s="39">
        <v>2010</v>
      </c>
      <c r="H64" s="39">
        <v>2011</v>
      </c>
      <c r="I64" s="39">
        <v>2012</v>
      </c>
      <c r="J64" s="39">
        <v>2013</v>
      </c>
      <c r="K64" s="39">
        <v>2014</v>
      </c>
      <c r="L64" s="39">
        <v>2015</v>
      </c>
      <c r="M64" s="39">
        <v>2016</v>
      </c>
      <c r="N64" s="39">
        <v>2017</v>
      </c>
      <c r="O64" s="15"/>
    </row>
    <row r="65" spans="2:20">
      <c r="B65" s="15"/>
      <c r="C65" s="15"/>
      <c r="D65" s="132" t="s">
        <v>16</v>
      </c>
      <c r="E65" s="133"/>
      <c r="F65" s="133"/>
      <c r="G65" s="133"/>
      <c r="H65" s="133"/>
      <c r="I65" s="133">
        <f t="shared" ref="I65:N65" si="13" xml:space="preserve"> I19/I76</f>
        <v>6.208405526239364</v>
      </c>
      <c r="J65" s="133">
        <f t="shared" si="13"/>
        <v>23.660032299717287</v>
      </c>
      <c r="K65" s="133">
        <f t="shared" si="13"/>
        <v>22.471999299200341</v>
      </c>
      <c r="L65" s="133">
        <f t="shared" si="13"/>
        <v>5.2999967955366891</v>
      </c>
      <c r="M65" s="133">
        <f t="shared" si="13"/>
        <v>0</v>
      </c>
      <c r="N65" s="133">
        <f t="shared" si="13"/>
        <v>0.95238080806397118</v>
      </c>
      <c r="O65" s="15"/>
    </row>
    <row r="66" spans="2:20">
      <c r="B66" s="15"/>
      <c r="C66" s="15"/>
      <c r="D66" s="132" t="s">
        <v>17</v>
      </c>
      <c r="E66" s="133"/>
      <c r="F66" s="133"/>
      <c r="G66" s="133"/>
      <c r="H66" s="133">
        <f xml:space="preserve"> H20/H76</f>
        <v>7.5285077592224683</v>
      </c>
      <c r="I66" s="133">
        <f xml:space="preserve"> I20/I76</f>
        <v>3.7250433157436187</v>
      </c>
      <c r="J66" s="133">
        <f xml:space="preserve"> J20/J76</f>
        <v>7.6895104974081177</v>
      </c>
      <c r="K66" s="133">
        <f xml:space="preserve"> K20/K76</f>
        <v>0</v>
      </c>
      <c r="L66" s="133">
        <f xml:space="preserve"> L20/L76</f>
        <v>0</v>
      </c>
      <c r="M66" s="133"/>
      <c r="N66" s="133"/>
      <c r="O66" s="15"/>
    </row>
    <row r="67" spans="2:20">
      <c r="B67" s="15"/>
      <c r="C67" s="15"/>
      <c r="D67" s="129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5"/>
    </row>
    <row r="68" spans="2:20">
      <c r="B68" s="15"/>
      <c r="C68" s="15"/>
      <c r="D68" s="20" t="s">
        <v>24</v>
      </c>
      <c r="E68" s="15" t="s">
        <v>14</v>
      </c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44"/>
      <c r="Q68" s="44"/>
      <c r="R68" s="44"/>
      <c r="S68" s="44"/>
      <c r="T68" s="44"/>
    </row>
    <row r="69" spans="2:20">
      <c r="B69" s="15"/>
      <c r="C69" s="15"/>
      <c r="D69" s="134"/>
      <c r="E69" s="40">
        <v>2008</v>
      </c>
      <c r="F69" s="40">
        <v>2009</v>
      </c>
      <c r="G69" s="40">
        <v>2010</v>
      </c>
      <c r="H69" s="40">
        <v>2011</v>
      </c>
      <c r="I69" s="40">
        <v>2012</v>
      </c>
      <c r="J69" s="40">
        <v>2013</v>
      </c>
      <c r="K69" s="40">
        <v>2014</v>
      </c>
      <c r="L69" s="40">
        <v>2015</v>
      </c>
      <c r="M69" s="40">
        <v>2016</v>
      </c>
      <c r="N69" s="40">
        <v>2017</v>
      </c>
      <c r="O69" s="15"/>
      <c r="P69" s="4"/>
      <c r="Q69" s="4"/>
      <c r="R69" s="4"/>
      <c r="S69" s="4"/>
      <c r="T69" s="24"/>
    </row>
    <row r="70" spans="2:20">
      <c r="B70" s="15"/>
      <c r="C70" s="15"/>
      <c r="D70" s="134" t="s">
        <v>16</v>
      </c>
      <c r="E70" s="135"/>
      <c r="F70" s="135"/>
      <c r="G70" s="135"/>
      <c r="H70" s="135"/>
      <c r="I70" s="135"/>
      <c r="J70" s="135"/>
      <c r="K70" s="136">
        <f>K27/K76</f>
        <v>0.73033997722401112</v>
      </c>
      <c r="L70" s="136">
        <f>L27/L76</f>
        <v>0.71422756816652411</v>
      </c>
      <c r="M70" s="136">
        <f>M27/M76</f>
        <v>0.64170000000000005</v>
      </c>
      <c r="N70" s="136">
        <f>N27/N76</f>
        <v>0.45447612160812706</v>
      </c>
      <c r="O70" s="15"/>
      <c r="P70" s="29"/>
      <c r="Q70" s="29"/>
      <c r="R70" s="29"/>
      <c r="S70" s="29"/>
      <c r="T70" s="24"/>
    </row>
    <row r="71" spans="2:20">
      <c r="B71" s="15"/>
      <c r="C71" s="15"/>
      <c r="D71" s="134" t="s">
        <v>17</v>
      </c>
      <c r="E71" s="135"/>
      <c r="F71" s="135"/>
      <c r="G71" s="135"/>
      <c r="H71" s="135"/>
      <c r="I71" s="135"/>
      <c r="J71" s="135"/>
      <c r="K71" s="136">
        <f>K28/K76</f>
        <v>0.3105630303149487</v>
      </c>
      <c r="L71" s="136">
        <f>L28/L76</f>
        <v>0.26436384016137005</v>
      </c>
      <c r="M71" s="135"/>
      <c r="N71" s="135"/>
      <c r="O71" s="15"/>
      <c r="P71" s="29"/>
      <c r="Q71" s="29"/>
      <c r="R71" s="29"/>
      <c r="S71" s="29"/>
      <c r="T71" s="24"/>
    </row>
    <row r="72" spans="2:20">
      <c r="B72" s="15"/>
      <c r="C72" s="15"/>
      <c r="D72" s="129"/>
      <c r="E72" s="130"/>
      <c r="F72" s="130"/>
      <c r="G72" s="130"/>
      <c r="H72" s="130"/>
      <c r="I72" s="130"/>
      <c r="J72" s="130"/>
      <c r="K72" s="137"/>
      <c r="L72" s="137"/>
      <c r="M72" s="130"/>
      <c r="N72" s="130"/>
      <c r="O72" s="15"/>
      <c r="P72" s="29"/>
      <c r="Q72" s="29"/>
      <c r="R72" s="29"/>
      <c r="S72" s="29"/>
      <c r="T72" s="24"/>
    </row>
    <row r="73" spans="2:20" ht="16.5" customHeight="1">
      <c r="B73" s="15"/>
      <c r="C73" s="138"/>
      <c r="D73" s="20" t="s">
        <v>25</v>
      </c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5"/>
    </row>
    <row r="74" spans="2:20">
      <c r="B74" s="15"/>
      <c r="C74" s="15"/>
      <c r="D74" s="30">
        <v>2007</v>
      </c>
      <c r="E74" s="30">
        <v>2008</v>
      </c>
      <c r="F74" s="30">
        <v>2009</v>
      </c>
      <c r="G74" s="30">
        <v>2010</v>
      </c>
      <c r="H74" s="30">
        <v>2011</v>
      </c>
      <c r="I74" s="30">
        <v>2012</v>
      </c>
      <c r="J74" s="30">
        <v>2013</v>
      </c>
      <c r="K74" s="30">
        <v>2014</v>
      </c>
      <c r="L74" s="30">
        <v>2015</v>
      </c>
      <c r="M74" s="30">
        <v>2016</v>
      </c>
      <c r="N74" s="30">
        <v>2017</v>
      </c>
      <c r="O74" s="15"/>
    </row>
    <row r="75" spans="2:20">
      <c r="B75" s="15"/>
      <c r="C75" s="15"/>
      <c r="D75" s="32" t="s">
        <v>41</v>
      </c>
      <c r="E75" s="32">
        <v>412.58</v>
      </c>
      <c r="F75" s="32">
        <v>441.10300000000001</v>
      </c>
      <c r="G75" s="32">
        <v>463.61</v>
      </c>
      <c r="H75" s="32">
        <v>484.19799999999998</v>
      </c>
      <c r="I75" s="32">
        <v>506.16699999999997</v>
      </c>
      <c r="J75" s="32">
        <v>531.274</v>
      </c>
      <c r="K75" s="32">
        <v>559.36099999999999</v>
      </c>
      <c r="L75" s="32">
        <v>592.923</v>
      </c>
      <c r="M75" s="32">
        <v>628.49800000000005</v>
      </c>
      <c r="N75" s="139">
        <v>659.923</v>
      </c>
      <c r="O75" s="15"/>
    </row>
    <row r="76" spans="2:20">
      <c r="B76" s="15"/>
      <c r="C76" s="15"/>
      <c r="D76" s="32" t="s">
        <v>26</v>
      </c>
      <c r="E76" s="30">
        <f>E75/$M$75</f>
        <v>0.6564539584851502</v>
      </c>
      <c r="F76" s="30">
        <f t="shared" ref="F76:N76" si="14">F75/$M$75</f>
        <v>0.70183676002151152</v>
      </c>
      <c r="G76" s="30">
        <f t="shared" si="14"/>
        <v>0.73764753428014085</v>
      </c>
      <c r="H76" s="30">
        <f t="shared" si="14"/>
        <v>0.77040499731104939</v>
      </c>
      <c r="I76" s="30">
        <f t="shared" si="14"/>
        <v>0.80535976248134433</v>
      </c>
      <c r="J76" s="30">
        <f t="shared" si="14"/>
        <v>0.84530738363527003</v>
      </c>
      <c r="K76" s="30">
        <f t="shared" si="14"/>
        <v>0.88999646776918928</v>
      </c>
      <c r="L76" s="30">
        <f t="shared" si="14"/>
        <v>0.943396796807627</v>
      </c>
      <c r="M76" s="30">
        <f t="shared" si="14"/>
        <v>1</v>
      </c>
      <c r="N76" s="30">
        <f t="shared" si="14"/>
        <v>1.0500001591094958</v>
      </c>
      <c r="O76" s="15"/>
    </row>
    <row r="77" spans="2:20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</row>
    <row r="78" spans="2:20">
      <c r="B78" s="15"/>
      <c r="C78" s="15"/>
      <c r="D78" s="20" t="s">
        <v>27</v>
      </c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</row>
    <row r="79" spans="2:20">
      <c r="B79" s="15"/>
      <c r="C79" s="15"/>
      <c r="D79" s="140" t="s">
        <v>15</v>
      </c>
      <c r="E79" s="27">
        <v>2008</v>
      </c>
      <c r="F79" s="27">
        <v>2009</v>
      </c>
      <c r="G79" s="27">
        <v>2010</v>
      </c>
      <c r="H79" s="27">
        <v>2011</v>
      </c>
      <c r="I79" s="27">
        <v>2012</v>
      </c>
      <c r="J79" s="27">
        <v>2013</v>
      </c>
      <c r="K79" s="27">
        <v>2014</v>
      </c>
      <c r="L79" s="27">
        <v>2015</v>
      </c>
      <c r="M79" s="27">
        <v>2016</v>
      </c>
      <c r="N79" s="27">
        <v>2017</v>
      </c>
      <c r="O79" s="15"/>
    </row>
    <row r="80" spans="2:20">
      <c r="B80" s="15"/>
      <c r="C80" s="15"/>
      <c r="D80" s="140" t="s">
        <v>16</v>
      </c>
      <c r="E80" s="165">
        <f>6999400/1000</f>
        <v>6999.4</v>
      </c>
      <c r="F80" s="165">
        <f>6676700/1000</f>
        <v>6676.7</v>
      </c>
      <c r="G80" s="165">
        <f>7489700/1000</f>
        <v>7489.7</v>
      </c>
      <c r="H80" s="165">
        <f>9328200/1000</f>
        <v>9328.2000000000007</v>
      </c>
      <c r="I80" s="165">
        <f>10560300/1000</f>
        <v>10560.3</v>
      </c>
      <c r="J80" s="165">
        <f>13030800/1000</f>
        <v>13030.8</v>
      </c>
      <c r="K80" s="165">
        <f>15294500/1000</f>
        <v>15294.5</v>
      </c>
      <c r="L80" s="165">
        <f>16199100/1000</f>
        <v>16199.1</v>
      </c>
      <c r="M80" s="140">
        <f>14762600000/1000000</f>
        <v>14762.6</v>
      </c>
      <c r="N80" s="165">
        <f>13349500000/1000000</f>
        <v>13349.5</v>
      </c>
      <c r="O80" s="15"/>
    </row>
    <row r="81" spans="2:16">
      <c r="B81" s="15"/>
      <c r="C81" s="15"/>
      <c r="D81" s="140" t="s">
        <v>17</v>
      </c>
      <c r="E81" s="165">
        <f>7551800/1000</f>
        <v>7551.8</v>
      </c>
      <c r="F81" s="165">
        <f>6687500/1000</f>
        <v>6687.5</v>
      </c>
      <c r="G81" s="165">
        <f>8092600/1000</f>
        <v>8092.6</v>
      </c>
      <c r="H81" s="165">
        <f>9370600/1000</f>
        <v>9370.6</v>
      </c>
      <c r="I81" s="165">
        <f>10046900/1000</f>
        <v>10046.9</v>
      </c>
      <c r="J81" s="165">
        <f>12505000/1000</f>
        <v>12505</v>
      </c>
      <c r="K81" s="165">
        <f>15453900/1000</f>
        <v>15453.9</v>
      </c>
      <c r="L81" s="165">
        <f>13788800/1000</f>
        <v>13788.8</v>
      </c>
      <c r="M81" s="156">
        <v>13572.4</v>
      </c>
      <c r="N81" s="140"/>
      <c r="O81" s="15"/>
    </row>
    <row r="82" spans="2:16">
      <c r="B82" s="15"/>
      <c r="C82" s="15"/>
      <c r="D82" s="15"/>
      <c r="E82" s="14"/>
      <c r="F82" s="14"/>
      <c r="G82" s="14"/>
      <c r="H82" s="49"/>
      <c r="I82" s="49"/>
      <c r="J82" s="14"/>
      <c r="K82" s="14"/>
      <c r="L82" s="9"/>
      <c r="M82" s="15"/>
      <c r="N82" s="15"/>
      <c r="O82" s="15"/>
    </row>
    <row r="83" spans="2:16">
      <c r="B83" s="15"/>
      <c r="C83" s="141"/>
      <c r="D83" s="20" t="s">
        <v>60</v>
      </c>
      <c r="E83" s="1"/>
      <c r="F83" s="15"/>
      <c r="G83" s="15"/>
      <c r="H83" s="15"/>
      <c r="I83" s="15"/>
      <c r="J83" s="15"/>
      <c r="K83" s="15"/>
      <c r="L83" s="15"/>
      <c r="M83" s="15"/>
      <c r="N83" s="15"/>
      <c r="O83" s="15"/>
    </row>
    <row r="84" spans="2:16">
      <c r="B84" s="15"/>
      <c r="C84" s="15"/>
      <c r="D84" s="142"/>
      <c r="E84" s="25">
        <v>2008</v>
      </c>
      <c r="F84" s="25">
        <v>2009</v>
      </c>
      <c r="G84" s="25">
        <v>2010</v>
      </c>
      <c r="H84" s="25">
        <v>2011</v>
      </c>
      <c r="I84" s="25">
        <v>2012</v>
      </c>
      <c r="J84" s="25">
        <v>2013</v>
      </c>
      <c r="K84" s="25">
        <v>2014</v>
      </c>
      <c r="L84" s="25">
        <v>2015</v>
      </c>
      <c r="M84" s="25">
        <v>2016</v>
      </c>
      <c r="N84" s="25">
        <v>2017</v>
      </c>
      <c r="O84" s="15"/>
    </row>
    <row r="85" spans="2:16">
      <c r="B85" s="15"/>
      <c r="C85" s="15"/>
      <c r="D85" s="143" t="s">
        <v>16</v>
      </c>
      <c r="E85" s="26">
        <f t="shared" ref="E85:N85" si="15">E48/(E80/E76)</f>
        <v>3.2717947252621656E-3</v>
      </c>
      <c r="F85" s="26">
        <f t="shared" si="15"/>
        <v>4.2610421315919548E-3</v>
      </c>
      <c r="G85" s="26">
        <f t="shared" si="15"/>
        <v>3.8918381243574504E-3</v>
      </c>
      <c r="H85" s="26">
        <f t="shared" si="15"/>
        <v>3.40012006603632E-3</v>
      </c>
      <c r="I85" s="26">
        <f t="shared" si="15"/>
        <v>4.3867409069818092E-3</v>
      </c>
      <c r="J85" s="26">
        <f t="shared" si="15"/>
        <v>4.4148172023206556E-3</v>
      </c>
      <c r="K85" s="26">
        <f t="shared" si="15"/>
        <v>3.7844846186537635E-3</v>
      </c>
      <c r="L85" s="26">
        <f t="shared" si="15"/>
        <v>3.6046693952133143E-3</v>
      </c>
      <c r="M85" s="26">
        <f t="shared" si="15"/>
        <v>3.1927844688604988E-3</v>
      </c>
      <c r="N85" s="26">
        <f t="shared" si="15"/>
        <v>3.0536574403535713E-3</v>
      </c>
      <c r="O85" s="15"/>
    </row>
    <row r="86" spans="2:16">
      <c r="B86" s="15"/>
      <c r="C86" s="15"/>
      <c r="D86" s="143" t="s">
        <v>17</v>
      </c>
      <c r="E86" s="26">
        <f t="shared" ref="E86:L86" si="16">E49/(E81/E76)</f>
        <v>3.7329510845096536E-3</v>
      </c>
      <c r="F86" s="26">
        <f t="shared" si="16"/>
        <v>4.2497196261682248E-3</v>
      </c>
      <c r="G86" s="26">
        <f t="shared" si="16"/>
        <v>3.594864444060005E-3</v>
      </c>
      <c r="H86" s="26">
        <f t="shared" si="16"/>
        <v>3.9951764027917102E-3</v>
      </c>
      <c r="I86" s="26">
        <f t="shared" si="16"/>
        <v>3.8699300281678931E-3</v>
      </c>
      <c r="J86" s="26">
        <f t="shared" si="16"/>
        <v>3.8715553778488599E-3</v>
      </c>
      <c r="K86" s="26">
        <f t="shared" si="16"/>
        <v>2.5651906638453721E-3</v>
      </c>
      <c r="L86" s="26">
        <f t="shared" si="16"/>
        <v>2.9190502436760271E-3</v>
      </c>
      <c r="M86" s="144"/>
      <c r="N86" s="144"/>
      <c r="O86" s="15"/>
    </row>
    <row r="87" spans="2:16">
      <c r="B87" s="15"/>
      <c r="C87" s="15"/>
      <c r="D87" s="129"/>
      <c r="E87" s="33"/>
      <c r="F87" s="33"/>
      <c r="G87" s="33"/>
      <c r="H87" s="33"/>
      <c r="I87" s="33"/>
      <c r="J87" s="33"/>
      <c r="K87" s="33"/>
      <c r="L87" s="33"/>
      <c r="M87" s="145"/>
      <c r="N87" s="145"/>
      <c r="O87" s="15"/>
    </row>
    <row r="88" spans="2:16">
      <c r="B88" s="15"/>
      <c r="C88" s="15"/>
      <c r="D88" s="4" t="s">
        <v>50</v>
      </c>
      <c r="E88" s="62"/>
      <c r="F88" s="33"/>
      <c r="G88" s="33"/>
      <c r="H88" s="33"/>
      <c r="I88" s="33"/>
      <c r="J88" s="33"/>
      <c r="K88" s="33"/>
      <c r="L88" s="33"/>
      <c r="M88" s="145"/>
      <c r="N88" s="145"/>
      <c r="O88" s="15"/>
    </row>
    <row r="89" spans="2:16">
      <c r="B89" s="15"/>
      <c r="C89" s="15"/>
      <c r="D89" s="146"/>
      <c r="E89" s="27">
        <v>2008</v>
      </c>
      <c r="F89" s="27">
        <v>2009</v>
      </c>
      <c r="G89" s="27">
        <v>2010</v>
      </c>
      <c r="H89" s="27">
        <v>2011</v>
      </c>
      <c r="I89" s="27">
        <v>2012</v>
      </c>
      <c r="J89" s="27">
        <v>2013</v>
      </c>
      <c r="K89" s="27">
        <v>2014</v>
      </c>
      <c r="L89" s="27">
        <v>2015</v>
      </c>
      <c r="M89" s="27">
        <v>2016</v>
      </c>
      <c r="N89" s="27">
        <v>2017</v>
      </c>
      <c r="O89" s="15"/>
    </row>
    <row r="90" spans="2:16">
      <c r="B90" s="15"/>
      <c r="C90" s="15"/>
      <c r="D90" s="140" t="s">
        <v>28</v>
      </c>
      <c r="E90" s="35">
        <v>5.34</v>
      </c>
      <c r="F90" s="35">
        <v>4.78</v>
      </c>
      <c r="G90" s="35">
        <v>10.95</v>
      </c>
      <c r="H90" s="35">
        <v>12.32</v>
      </c>
      <c r="I90" s="35">
        <v>15.64</v>
      </c>
      <c r="J90" s="35">
        <v>15.17</v>
      </c>
      <c r="K90" s="35">
        <v>15.38</v>
      </c>
      <c r="L90" s="35">
        <v>14.42</v>
      </c>
      <c r="M90" s="147"/>
      <c r="N90" s="147"/>
      <c r="O90" s="129" t="s">
        <v>29</v>
      </c>
      <c r="P90" s="33"/>
    </row>
    <row r="91" spans="2:16">
      <c r="B91" s="15"/>
      <c r="C91" s="15"/>
      <c r="D91" s="140" t="s">
        <v>31</v>
      </c>
      <c r="E91" s="36"/>
      <c r="F91" s="36"/>
      <c r="G91" s="35"/>
      <c r="H91" s="35"/>
      <c r="I91" s="35">
        <v>25</v>
      </c>
      <c r="J91" s="35">
        <v>25</v>
      </c>
      <c r="K91" s="35">
        <v>25</v>
      </c>
      <c r="L91" s="35">
        <v>25</v>
      </c>
      <c r="M91" s="147">
        <v>28</v>
      </c>
      <c r="N91" s="148"/>
      <c r="O91" s="15" t="s">
        <v>30</v>
      </c>
    </row>
    <row r="92" spans="2:16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</row>
    <row r="93" spans="2:16">
      <c r="B93" s="15"/>
      <c r="C93" s="15"/>
      <c r="D93" s="20" t="s">
        <v>48</v>
      </c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</row>
    <row r="94" spans="2:16">
      <c r="B94" s="15"/>
      <c r="C94" s="15"/>
      <c r="D94" s="127"/>
      <c r="E94" s="18">
        <v>2008</v>
      </c>
      <c r="F94" s="18">
        <v>2009</v>
      </c>
      <c r="G94" s="18">
        <v>2010</v>
      </c>
      <c r="H94" s="18">
        <v>2011</v>
      </c>
      <c r="I94" s="18">
        <v>2012</v>
      </c>
      <c r="J94" s="18">
        <v>2013</v>
      </c>
      <c r="K94" s="18">
        <v>2014</v>
      </c>
      <c r="L94" s="18">
        <v>2015</v>
      </c>
      <c r="M94" s="18">
        <v>2016</v>
      </c>
      <c r="N94" s="18">
        <v>2017</v>
      </c>
      <c r="O94" s="15"/>
    </row>
    <row r="95" spans="2:16">
      <c r="B95" s="15"/>
      <c r="C95" s="15"/>
      <c r="D95" s="127" t="s">
        <v>17</v>
      </c>
      <c r="E95" s="127"/>
      <c r="F95" s="127"/>
      <c r="G95" s="127"/>
      <c r="H95" s="127"/>
      <c r="I95" s="127"/>
      <c r="J95" s="127"/>
      <c r="K95" s="127">
        <f>(949.3/K76)/1000</f>
        <v>1.0666334467365441</v>
      </c>
      <c r="L95" s="127">
        <f>(1231.7/L76)/1000</f>
        <v>1.3056012106125081</v>
      </c>
      <c r="M95" s="127"/>
      <c r="N95" s="127"/>
      <c r="O95" s="15"/>
    </row>
    <row r="96" spans="2:16">
      <c r="B96" s="15"/>
      <c r="C96" s="15"/>
      <c r="D96" s="119"/>
      <c r="E96" s="119"/>
      <c r="F96" s="119"/>
      <c r="G96" s="119"/>
      <c r="H96" s="119"/>
      <c r="I96" s="119"/>
      <c r="J96" s="119"/>
      <c r="K96" s="119"/>
      <c r="L96" s="119"/>
      <c r="M96" s="15"/>
      <c r="N96" s="15"/>
      <c r="O96" s="15"/>
    </row>
    <row r="97" spans="2:15" s="7" customFormat="1">
      <c r="B97" s="119"/>
      <c r="C97" s="119"/>
      <c r="D97" s="4" t="s">
        <v>32</v>
      </c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</row>
    <row r="98" spans="2:15">
      <c r="B98" s="15"/>
      <c r="C98" s="15"/>
      <c r="D98" s="132"/>
      <c r="E98" s="39">
        <v>2008</v>
      </c>
      <c r="F98" s="39">
        <v>2009</v>
      </c>
      <c r="G98" s="39">
        <v>2010</v>
      </c>
      <c r="H98" s="39">
        <v>2011</v>
      </c>
      <c r="I98" s="39">
        <v>2012</v>
      </c>
      <c r="J98" s="39">
        <v>2013</v>
      </c>
      <c r="K98" s="39">
        <v>2014</v>
      </c>
      <c r="L98" s="39">
        <v>2015</v>
      </c>
      <c r="M98" s="39">
        <v>2016</v>
      </c>
      <c r="N98" s="39">
        <v>2017</v>
      </c>
      <c r="O98" s="15"/>
    </row>
    <row r="99" spans="2:15">
      <c r="B99" s="15"/>
      <c r="C99" s="15"/>
      <c r="D99" s="132" t="s">
        <v>16</v>
      </c>
      <c r="E99" s="149">
        <f>E80/E76</f>
        <v>10662.438560279219</v>
      </c>
      <c r="F99" s="149">
        <f t="shared" ref="F99:N99" si="17">F80/F76</f>
        <v>9513.1808140048925</v>
      </c>
      <c r="G99" s="149">
        <f t="shared" si="17"/>
        <v>10153.494252928109</v>
      </c>
      <c r="H99" s="149">
        <f t="shared" si="17"/>
        <v>12108.176910272246</v>
      </c>
      <c r="I99" s="149">
        <f t="shared" si="17"/>
        <v>13112.524975749111</v>
      </c>
      <c r="J99" s="149">
        <f t="shared" si="17"/>
        <v>15415.4574445578</v>
      </c>
      <c r="K99" s="149">
        <f t="shared" si="17"/>
        <v>17184.899664080982</v>
      </c>
      <c r="L99" s="149">
        <f t="shared" si="17"/>
        <v>17171.035618115675</v>
      </c>
      <c r="M99" s="149">
        <f>M80/M76</f>
        <v>14762.6</v>
      </c>
      <c r="N99" s="149">
        <f t="shared" si="17"/>
        <v>12713.807597249985</v>
      </c>
      <c r="O99" s="15"/>
    </row>
    <row r="100" spans="2:15">
      <c r="B100" s="15"/>
      <c r="C100" s="15"/>
      <c r="D100" s="132" t="s">
        <v>17</v>
      </c>
      <c r="E100" s="149">
        <f>E81/E76</f>
        <v>11503.929411023319</v>
      </c>
      <c r="F100" s="149">
        <f t="shared" ref="F100:L100" si="18">F81/F76</f>
        <v>9528.5690076920819</v>
      </c>
      <c r="G100" s="149">
        <f t="shared" si="18"/>
        <v>10970.822274756802</v>
      </c>
      <c r="H100" s="149">
        <f t="shared" si="18"/>
        <v>12163.212898029322</v>
      </c>
      <c r="I100" s="149">
        <f t="shared" si="18"/>
        <v>12475.045896314854</v>
      </c>
      <c r="J100" s="149">
        <f t="shared" si="18"/>
        <v>14793.435195398233</v>
      </c>
      <c r="K100" s="149">
        <f t="shared" si="18"/>
        <v>17364.001498495607</v>
      </c>
      <c r="L100" s="149">
        <f t="shared" si="18"/>
        <v>14616.119162859259</v>
      </c>
      <c r="M100" s="149">
        <f>M81/M76</f>
        <v>13572.4</v>
      </c>
      <c r="N100" s="149"/>
      <c r="O100" s="15"/>
    </row>
    <row r="101" spans="2:15">
      <c r="B101" s="15"/>
      <c r="C101" s="150"/>
      <c r="D101" s="129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"/>
    </row>
    <row r="102" spans="2:15">
      <c r="B102" s="15"/>
      <c r="C102" s="150"/>
      <c r="D102" s="61" t="s">
        <v>36</v>
      </c>
      <c r="E102" s="129"/>
      <c r="F102" s="129"/>
      <c r="G102" s="129"/>
      <c r="H102" s="129"/>
      <c r="I102" s="129"/>
      <c r="J102" s="129"/>
      <c r="K102" s="129"/>
      <c r="L102" s="129"/>
      <c r="M102" s="150"/>
      <c r="N102" s="150"/>
      <c r="O102" s="15"/>
    </row>
    <row r="103" spans="2:15">
      <c r="B103" s="15"/>
      <c r="C103" s="15"/>
      <c r="D103" s="117"/>
      <c r="E103" s="22">
        <v>2008</v>
      </c>
      <c r="F103" s="22">
        <v>2009</v>
      </c>
      <c r="G103" s="22">
        <v>2010</v>
      </c>
      <c r="H103" s="22">
        <v>2011</v>
      </c>
      <c r="I103" s="22">
        <v>2012</v>
      </c>
      <c r="J103" s="22">
        <v>2013</v>
      </c>
      <c r="K103" s="22">
        <v>2014</v>
      </c>
      <c r="L103" s="22">
        <v>2015</v>
      </c>
      <c r="M103" s="22">
        <v>2016</v>
      </c>
      <c r="N103" s="22">
        <v>2017</v>
      </c>
      <c r="O103" s="15"/>
    </row>
    <row r="104" spans="2:15">
      <c r="B104" s="15"/>
      <c r="C104" s="15"/>
      <c r="D104" s="47" t="s">
        <v>33</v>
      </c>
      <c r="E104" s="56">
        <f t="shared" ref="E104:M104" si="19">(E100-E49)/(E99-E48)</f>
        <v>1.0784218658429183</v>
      </c>
      <c r="F104" s="56">
        <f t="shared" si="19"/>
        <v>1.0016289549146489</v>
      </c>
      <c r="G104" s="56">
        <f t="shared" si="19"/>
        <v>1.080819349100917</v>
      </c>
      <c r="H104" s="56">
        <f t="shared" si="19"/>
        <v>1.003945556615335</v>
      </c>
      <c r="I104" s="56">
        <f t="shared" si="19"/>
        <v>0.95187780887469708</v>
      </c>
      <c r="J104" s="56">
        <f t="shared" si="19"/>
        <v>0.96017309866808154</v>
      </c>
      <c r="K104" s="56">
        <f t="shared" si="19"/>
        <v>1.0116587288378729</v>
      </c>
      <c r="L104" s="56">
        <f t="shared" si="19"/>
        <v>0.85179349881785849</v>
      </c>
      <c r="M104" s="56">
        <f t="shared" si="19"/>
        <v>0.92232212119789991</v>
      </c>
      <c r="N104" s="45"/>
      <c r="O104" s="15"/>
    </row>
    <row r="105" spans="2:15">
      <c r="B105" s="15"/>
      <c r="C105" s="15"/>
      <c r="D105" s="47" t="s">
        <v>34</v>
      </c>
      <c r="E105" s="57">
        <f t="shared" ref="E105:L105" si="20">E49/E48</f>
        <v>1.2309939477568275</v>
      </c>
      <c r="F105" s="57">
        <f t="shared" si="20"/>
        <v>0.99895605226065642</v>
      </c>
      <c r="G105" s="57">
        <f t="shared" si="20"/>
        <v>0.99804794038842215</v>
      </c>
      <c r="H105" s="57">
        <f t="shared" si="20"/>
        <v>1.1803512312009334</v>
      </c>
      <c r="I105" s="57">
        <f t="shared" si="20"/>
        <v>0.83929947566448593</v>
      </c>
      <c r="J105" s="57">
        <f t="shared" si="20"/>
        <v>0.84156054553735005</v>
      </c>
      <c r="K105" s="57">
        <f t="shared" si="20"/>
        <v>0.68488194907552991</v>
      </c>
      <c r="L105" s="58">
        <f t="shared" si="20"/>
        <v>0.68930545755954553</v>
      </c>
      <c r="M105" s="57"/>
      <c r="N105" s="46"/>
      <c r="O105" s="15"/>
    </row>
    <row r="106" spans="2:15">
      <c r="B106" s="15"/>
      <c r="C106" s="15"/>
      <c r="D106" s="48"/>
      <c r="E106" s="15"/>
      <c r="F106" s="15"/>
      <c r="G106" s="15"/>
      <c r="H106" s="15"/>
      <c r="I106" s="15"/>
      <c r="J106" s="15"/>
      <c r="K106" s="15"/>
      <c r="L106" s="15"/>
      <c r="M106" s="129"/>
      <c r="N106" s="129"/>
      <c r="O106" s="15"/>
    </row>
    <row r="107" spans="2:15" ht="28.5" customHeight="1">
      <c r="B107" s="15"/>
      <c r="C107" s="15"/>
      <c r="D107" s="68" t="s">
        <v>54</v>
      </c>
      <c r="E107" s="68"/>
      <c r="F107" s="28"/>
      <c r="G107" s="15"/>
      <c r="H107" s="15"/>
      <c r="I107" s="15"/>
      <c r="J107" s="15"/>
      <c r="K107" s="15"/>
      <c r="L107" s="15"/>
      <c r="M107" s="60" t="s">
        <v>68</v>
      </c>
      <c r="N107" s="4" t="s">
        <v>16</v>
      </c>
      <c r="O107" s="15"/>
    </row>
    <row r="108" spans="2:15">
      <c r="B108" s="15"/>
      <c r="C108" s="15"/>
      <c r="D108" s="64"/>
      <c r="E108" s="17">
        <v>2008</v>
      </c>
      <c r="F108" s="17">
        <v>2009</v>
      </c>
      <c r="G108" s="17">
        <v>2010</v>
      </c>
      <c r="H108" s="17">
        <v>2011</v>
      </c>
      <c r="I108" s="17">
        <v>2012</v>
      </c>
      <c r="J108" s="17">
        <v>2013</v>
      </c>
      <c r="K108" s="17">
        <v>2014</v>
      </c>
      <c r="L108" s="17">
        <v>2015</v>
      </c>
      <c r="M108" s="17">
        <v>2016</v>
      </c>
      <c r="N108" s="17">
        <v>2017</v>
      </c>
      <c r="O108" s="15"/>
    </row>
    <row r="109" spans="2:15">
      <c r="B109" s="15"/>
      <c r="C109" s="15"/>
      <c r="D109" s="63" t="s">
        <v>51</v>
      </c>
      <c r="E109" s="131">
        <v>18.116883669106599</v>
      </c>
      <c r="F109" s="131">
        <v>20.004651793345321</v>
      </c>
      <c r="G109" s="131">
        <v>19.033480554776645</v>
      </c>
      <c r="H109" s="131">
        <v>19.135389894216832</v>
      </c>
      <c r="I109" s="131">
        <v>21.751769601732239</v>
      </c>
      <c r="J109" s="131">
        <v>21.426525250623971</v>
      </c>
      <c r="K109" s="131">
        <v>20.900082948221275</v>
      </c>
      <c r="L109" s="131">
        <v>20.398627666661607</v>
      </c>
      <c r="M109" s="131">
        <f>M34</f>
        <v>18.600995000000001</v>
      </c>
      <c r="N109" s="131">
        <v>17.794663970190499</v>
      </c>
      <c r="O109" s="15" t="s">
        <v>44</v>
      </c>
    </row>
    <row r="110" spans="2:15">
      <c r="B110" s="15"/>
      <c r="C110" s="15"/>
      <c r="D110" s="63" t="s">
        <v>35</v>
      </c>
      <c r="E110" s="131">
        <v>0.81148112996267419</v>
      </c>
      <c r="F110" s="131">
        <v>0.20560336565382692</v>
      </c>
      <c r="G110" s="131">
        <v>0.65085285002480542</v>
      </c>
      <c r="H110" s="131">
        <v>0.93872703646029132</v>
      </c>
      <c r="I110" s="131">
        <v>0.67522618503379317</v>
      </c>
      <c r="J110" s="131">
        <v>0.52856512157568425</v>
      </c>
      <c r="K110" s="131">
        <v>1.0166332482958234</v>
      </c>
      <c r="L110" s="131">
        <v>1.13239731533437</v>
      </c>
      <c r="M110" s="131">
        <v>1.6939</v>
      </c>
      <c r="N110" s="131">
        <v>1.3354283690673006</v>
      </c>
      <c r="O110" s="15"/>
    </row>
    <row r="111" spans="2:15">
      <c r="B111" s="15"/>
      <c r="C111" s="15"/>
      <c r="D111" s="64" t="s">
        <v>52</v>
      </c>
      <c r="E111" s="131">
        <v>24.01524097193272</v>
      </c>
      <c r="F111" s="131">
        <v>20.283491562288177</v>
      </c>
      <c r="G111" s="131">
        <v>19.75428551282328</v>
      </c>
      <c r="H111" s="131">
        <v>20.991556462438925</v>
      </c>
      <c r="I111" s="131">
        <v>22.125515614411846</v>
      </c>
      <c r="J111" s="131">
        <v>27.629002717994862</v>
      </c>
      <c r="K111" s="131">
        <v>22.314695304105939</v>
      </c>
      <c r="L111" s="131">
        <v>20.869797381784821</v>
      </c>
      <c r="M111" s="131">
        <f>M44</f>
        <v>22.286769</v>
      </c>
      <c r="N111" s="131">
        <v>16.38190227950837</v>
      </c>
      <c r="O111" s="15" t="s">
        <v>44</v>
      </c>
    </row>
    <row r="112" spans="2:15">
      <c r="B112" s="15"/>
      <c r="C112" s="15"/>
      <c r="D112" s="64" t="s">
        <v>53</v>
      </c>
      <c r="E112" s="131"/>
      <c r="F112" s="131"/>
      <c r="G112" s="131"/>
      <c r="H112" s="131">
        <v>7.5285077592224683</v>
      </c>
      <c r="I112" s="131">
        <v>3.7250433157436187</v>
      </c>
      <c r="J112" s="131">
        <v>7.6895104974081177</v>
      </c>
      <c r="K112" s="131">
        <v>0</v>
      </c>
      <c r="L112" s="67">
        <v>0</v>
      </c>
      <c r="M112" s="131">
        <v>0</v>
      </c>
      <c r="N112" s="131">
        <v>0.95238080806397096</v>
      </c>
      <c r="O112" s="119"/>
    </row>
    <row r="113" spans="2:15">
      <c r="B113" s="15"/>
      <c r="C113" s="15"/>
      <c r="D113" s="64" t="s">
        <v>42</v>
      </c>
      <c r="E113" s="131"/>
      <c r="F113" s="131"/>
      <c r="G113" s="131"/>
      <c r="H113" s="131"/>
      <c r="I113" s="131"/>
      <c r="J113" s="131"/>
      <c r="K113" s="131">
        <v>0.3105630303149487</v>
      </c>
      <c r="L113" s="131">
        <v>0.26436384016137005</v>
      </c>
      <c r="M113" s="131">
        <v>0.64170000000000005</v>
      </c>
      <c r="N113" s="131">
        <v>0.45447612160812706</v>
      </c>
      <c r="O113" s="15"/>
    </row>
    <row r="114" spans="2:15">
      <c r="B114" s="15"/>
      <c r="C114" s="15"/>
      <c r="D114" s="129"/>
      <c r="E114" s="130"/>
      <c r="F114" s="130"/>
      <c r="G114" s="130"/>
      <c r="H114" s="130"/>
      <c r="I114" s="130"/>
      <c r="J114" s="130"/>
      <c r="K114" s="137"/>
      <c r="L114" s="137"/>
      <c r="M114" s="130"/>
      <c r="N114" s="130"/>
      <c r="O114" s="15"/>
    </row>
    <row r="115" spans="2:15">
      <c r="B115" s="15"/>
      <c r="C115" s="15"/>
      <c r="D115" s="129"/>
      <c r="E115" s="130"/>
      <c r="F115" s="130"/>
      <c r="G115" s="130"/>
      <c r="H115" s="130"/>
      <c r="I115" s="130"/>
      <c r="J115" s="130"/>
      <c r="K115" s="137"/>
      <c r="L115" s="137"/>
      <c r="M115" s="130"/>
      <c r="N115" s="130"/>
      <c r="O115" s="15"/>
    </row>
    <row r="116" spans="2:15">
      <c r="B116" s="15"/>
      <c r="C116" s="15"/>
      <c r="D116" s="55" t="s">
        <v>56</v>
      </c>
      <c r="E116" s="52"/>
      <c r="F116" s="52"/>
      <c r="G116" s="52"/>
      <c r="H116" s="52"/>
      <c r="I116" s="52"/>
      <c r="J116" s="130"/>
      <c r="K116" s="137"/>
      <c r="L116" s="137"/>
      <c r="M116" s="130"/>
      <c r="N116" s="130"/>
      <c r="O116" s="15"/>
    </row>
    <row r="117" spans="2:15">
      <c r="B117" s="15"/>
      <c r="C117" s="15"/>
      <c r="D117" s="152"/>
      <c r="E117" s="54">
        <v>2008</v>
      </c>
      <c r="F117" s="54">
        <v>2009</v>
      </c>
      <c r="G117" s="54">
        <v>2010</v>
      </c>
      <c r="H117" s="54">
        <v>2011</v>
      </c>
      <c r="I117" s="54">
        <v>2012</v>
      </c>
      <c r="J117" s="54">
        <v>2013</v>
      </c>
      <c r="K117" s="54">
        <v>2014</v>
      </c>
      <c r="L117" s="54">
        <v>2015</v>
      </c>
      <c r="M117" s="54">
        <v>2016</v>
      </c>
      <c r="N117" s="153">
        <v>2017</v>
      </c>
      <c r="O117" s="15"/>
    </row>
    <row r="118" spans="2:15">
      <c r="B118" s="15"/>
      <c r="C118" s="15"/>
      <c r="D118" s="152" t="s">
        <v>16</v>
      </c>
      <c r="E118" s="154">
        <f t="shared" ref="E118:N118" si="21">(E48/(E123/E76))</f>
        <v>3.7270685502245951E-3</v>
      </c>
      <c r="F118" s="154">
        <f t="shared" si="21"/>
        <v>5.0527839445875149E-3</v>
      </c>
      <c r="G118" s="154">
        <f t="shared" si="21"/>
        <v>4.5236668942826982E-3</v>
      </c>
      <c r="H118" s="154">
        <f t="shared" si="21"/>
        <v>3.9460784313725492E-3</v>
      </c>
      <c r="I118" s="154">
        <f t="shared" si="21"/>
        <v>5.0691345596200772E-3</v>
      </c>
      <c r="J118" s="154">
        <f t="shared" si="21"/>
        <v>4.9791068028388428E-3</v>
      </c>
      <c r="K118" s="154">
        <f t="shared" si="21"/>
        <v>5.0110207862590784E-3</v>
      </c>
      <c r="L118" s="154">
        <f t="shared" si="21"/>
        <v>4.6605422576242502E-3</v>
      </c>
      <c r="M118" s="154">
        <f t="shared" si="21"/>
        <v>4.3269011860610287E-3</v>
      </c>
      <c r="N118" s="154">
        <f t="shared" si="21"/>
        <v>4.38307617870007E-3</v>
      </c>
      <c r="O118" s="15"/>
    </row>
    <row r="119" spans="2:15">
      <c r="B119" s="15"/>
      <c r="C119" s="15"/>
      <c r="D119" s="152" t="s">
        <v>17</v>
      </c>
      <c r="E119" s="154">
        <f t="shared" ref="E119:L119" si="22">E49/(E124/E76)</f>
        <v>4.2095478437462665E-3</v>
      </c>
      <c r="F119" s="154">
        <f t="shared" si="22"/>
        <v>5.0378458865864249E-3</v>
      </c>
      <c r="G119" s="154">
        <f t="shared" si="22"/>
        <v>4.1285460867097144E-3</v>
      </c>
      <c r="H119" s="154">
        <f t="shared" si="22"/>
        <v>4.6333168316831696E-3</v>
      </c>
      <c r="I119" s="154">
        <f t="shared" si="22"/>
        <v>4.5077620488562726E-3</v>
      </c>
      <c r="J119" s="154">
        <f t="shared" si="22"/>
        <v>4.3900001813532569E-3</v>
      </c>
      <c r="K119" s="154">
        <f t="shared" si="22"/>
        <v>3.3852420518688674E-3</v>
      </c>
      <c r="L119" s="154">
        <f t="shared" si="22"/>
        <v>3.9777641617583116E-3</v>
      </c>
      <c r="M119" s="154"/>
      <c r="N119" s="154"/>
      <c r="O119" s="15"/>
    </row>
    <row r="120" spans="2:15">
      <c r="B120" s="15"/>
      <c r="C120" s="15"/>
      <c r="D120" s="129"/>
      <c r="E120" s="130">
        <f>E48/(E80-E130)/E76</f>
        <v>8.6488594102141665E-3</v>
      </c>
      <c r="F120" s="130"/>
      <c r="G120" s="130"/>
      <c r="H120" s="130"/>
      <c r="I120" s="130"/>
      <c r="J120" s="130"/>
      <c r="K120" s="137"/>
      <c r="L120" s="137"/>
      <c r="M120" s="130"/>
      <c r="N120" s="130"/>
      <c r="O120" s="15"/>
    </row>
    <row r="121" spans="2:15">
      <c r="B121" s="15"/>
      <c r="C121" s="15"/>
      <c r="D121" s="1" t="s">
        <v>59</v>
      </c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</row>
    <row r="122" spans="2:15">
      <c r="B122" s="15"/>
      <c r="C122" s="15"/>
      <c r="D122" s="140" t="s">
        <v>15</v>
      </c>
      <c r="E122" s="27">
        <v>2008</v>
      </c>
      <c r="F122" s="27">
        <v>2009</v>
      </c>
      <c r="G122" s="27">
        <v>2010</v>
      </c>
      <c r="H122" s="27">
        <v>2011</v>
      </c>
      <c r="I122" s="27">
        <v>2012</v>
      </c>
      <c r="J122" s="27">
        <v>2013</v>
      </c>
      <c r="K122" s="27">
        <v>2014</v>
      </c>
      <c r="L122" s="27">
        <v>2015</v>
      </c>
      <c r="M122" s="27">
        <v>2016</v>
      </c>
      <c r="N122" s="27">
        <v>2017</v>
      </c>
      <c r="O122" s="15"/>
    </row>
    <row r="123" spans="2:15">
      <c r="B123" s="15"/>
      <c r="C123" s="15"/>
      <c r="D123" s="140" t="s">
        <v>16</v>
      </c>
      <c r="E123" s="155">
        <f>(6999400/1000)-E130</f>
        <v>6144.4</v>
      </c>
      <c r="F123" s="155">
        <f>6676700/1000-F130</f>
        <v>5630.5</v>
      </c>
      <c r="G123" s="155">
        <f>7489700/1000-G130</f>
        <v>6443.6</v>
      </c>
      <c r="H123" s="155">
        <f>9328200/1000-H130</f>
        <v>8037.6</v>
      </c>
      <c r="I123" s="155">
        <f>10560300/1000-I130</f>
        <v>9138.6999999999989</v>
      </c>
      <c r="J123" s="155">
        <f>13030800/1000-J130</f>
        <v>11554</v>
      </c>
      <c r="K123" s="155">
        <f>15294500/1000-K130</f>
        <v>11550.9</v>
      </c>
      <c r="L123" s="155">
        <f>16199100/1000-L130</f>
        <v>12529.1</v>
      </c>
      <c r="M123" s="155">
        <f>14762600000/1000000-M130</f>
        <v>10893.2</v>
      </c>
      <c r="N123" s="155">
        <f>13349500000/1000000-N130</f>
        <v>9300.5</v>
      </c>
      <c r="O123" s="15"/>
    </row>
    <row r="124" spans="2:15">
      <c r="B124" s="15"/>
      <c r="C124" s="15"/>
      <c r="D124" s="140" t="s">
        <v>17</v>
      </c>
      <c r="E124" s="155">
        <f>7551800/1000-E130</f>
        <v>6696.8</v>
      </c>
      <c r="F124" s="155">
        <f>6687500/1000-F130</f>
        <v>5641.3</v>
      </c>
      <c r="G124" s="155">
        <f>8092600/1000-G130</f>
        <v>7046.5</v>
      </c>
      <c r="H124" s="155">
        <f>9370600/1000-H130</f>
        <v>8080</v>
      </c>
      <c r="I124" s="155">
        <f>10046900/1000-I130</f>
        <v>8625.2999999999993</v>
      </c>
      <c r="J124" s="155">
        <f>12505000/1000-J130</f>
        <v>11028.2</v>
      </c>
      <c r="K124" s="155">
        <f>15453900/1000-K130</f>
        <v>11710.3</v>
      </c>
      <c r="L124" s="155">
        <f>13788800/1000-L130</f>
        <v>10118.799999999999</v>
      </c>
      <c r="M124" s="156">
        <f>13572.4-M130</f>
        <v>9703</v>
      </c>
      <c r="N124" s="155"/>
      <c r="O124" s="15"/>
    </row>
    <row r="125" spans="2:15">
      <c r="B125" s="15"/>
      <c r="C125" s="15"/>
      <c r="D125" s="129"/>
      <c r="E125" s="53"/>
      <c r="F125" s="53"/>
      <c r="G125" s="53"/>
      <c r="H125" s="53"/>
      <c r="I125" s="53"/>
      <c r="J125" s="53"/>
      <c r="K125" s="53"/>
      <c r="L125" s="53"/>
      <c r="M125" s="157"/>
      <c r="N125" s="129"/>
      <c r="O125" s="15"/>
    </row>
    <row r="126" spans="2:15">
      <c r="B126" s="15"/>
      <c r="C126" s="15"/>
      <c r="D126" s="4" t="s">
        <v>67</v>
      </c>
      <c r="E126" s="52"/>
      <c r="F126" s="130"/>
      <c r="G126" s="130"/>
      <c r="H126" s="130"/>
      <c r="I126" s="130"/>
      <c r="J126" s="130"/>
      <c r="K126" s="137"/>
      <c r="L126" s="137"/>
      <c r="M126" s="130"/>
      <c r="N126" s="130"/>
      <c r="O126" s="15"/>
    </row>
    <row r="127" spans="2:15">
      <c r="B127" s="15"/>
      <c r="C127" s="15"/>
      <c r="D127" s="158"/>
      <c r="E127" s="158">
        <v>2008</v>
      </c>
      <c r="F127" s="158">
        <v>2009</v>
      </c>
      <c r="G127" s="158">
        <v>2010</v>
      </c>
      <c r="H127" s="158">
        <v>2011</v>
      </c>
      <c r="I127" s="158">
        <v>2012</v>
      </c>
      <c r="J127" s="158">
        <v>2013</v>
      </c>
      <c r="K127" s="158">
        <v>2014</v>
      </c>
      <c r="L127" s="158">
        <v>2015</v>
      </c>
      <c r="M127" s="158">
        <v>2016</v>
      </c>
      <c r="N127" s="159">
        <v>2017</v>
      </c>
      <c r="O127" s="15"/>
    </row>
    <row r="128" spans="2:15">
      <c r="B128" s="15"/>
      <c r="C128" s="15"/>
      <c r="D128" s="158" t="s">
        <v>65</v>
      </c>
      <c r="E128" s="160">
        <v>802.7</v>
      </c>
      <c r="F128" s="160">
        <v>985.6</v>
      </c>
      <c r="G128" s="160">
        <v>982.9</v>
      </c>
      <c r="H128" s="160">
        <v>1228.0999999999999</v>
      </c>
      <c r="I128" s="161">
        <v>1346.4</v>
      </c>
      <c r="J128" s="161">
        <v>1396.6</v>
      </c>
      <c r="K128" s="161">
        <v>3512.8</v>
      </c>
      <c r="L128" s="161">
        <v>3437.7</v>
      </c>
      <c r="M128" s="162">
        <v>3658.4</v>
      </c>
      <c r="N128" s="162">
        <v>3800.5</v>
      </c>
      <c r="O128" s="15" t="s">
        <v>39</v>
      </c>
    </row>
    <row r="129" spans="1:15">
      <c r="B129" s="15"/>
      <c r="C129" s="15"/>
      <c r="D129" s="158" t="s">
        <v>66</v>
      </c>
      <c r="E129" s="160">
        <v>52.3</v>
      </c>
      <c r="F129" s="160">
        <v>60.6</v>
      </c>
      <c r="G129" s="160">
        <v>63.2</v>
      </c>
      <c r="H129" s="160">
        <v>62.5</v>
      </c>
      <c r="I129" s="161">
        <v>75.2</v>
      </c>
      <c r="J129" s="161">
        <v>80.2</v>
      </c>
      <c r="K129" s="161">
        <v>230.8</v>
      </c>
      <c r="L129" s="161">
        <v>232.3</v>
      </c>
      <c r="M129" s="162">
        <v>211</v>
      </c>
      <c r="N129" s="162">
        <v>248.5</v>
      </c>
      <c r="O129" s="163" t="s">
        <v>40</v>
      </c>
    </row>
    <row r="130" spans="1:15">
      <c r="B130" s="15"/>
      <c r="C130" s="15"/>
      <c r="D130" s="158" t="s">
        <v>38</v>
      </c>
      <c r="E130" s="162">
        <f>SUM(E128:E129)</f>
        <v>855</v>
      </c>
      <c r="F130" s="162">
        <f>SUM(F128:F129)</f>
        <v>1046.2</v>
      </c>
      <c r="G130" s="162">
        <f t="shared" ref="G130:N130" si="23">G128+G129</f>
        <v>1046.0999999999999</v>
      </c>
      <c r="H130" s="162">
        <f t="shared" si="23"/>
        <v>1290.5999999999999</v>
      </c>
      <c r="I130" s="162">
        <f t="shared" si="23"/>
        <v>1421.6000000000001</v>
      </c>
      <c r="J130" s="162">
        <f t="shared" si="23"/>
        <v>1476.8</v>
      </c>
      <c r="K130" s="164">
        <f t="shared" si="23"/>
        <v>3743.6000000000004</v>
      </c>
      <c r="L130" s="164">
        <f t="shared" si="23"/>
        <v>3670</v>
      </c>
      <c r="M130" s="162">
        <f t="shared" si="23"/>
        <v>3869.4</v>
      </c>
      <c r="N130" s="162">
        <f t="shared" si="23"/>
        <v>4049</v>
      </c>
      <c r="O130" s="15"/>
    </row>
    <row r="131" spans="1:15">
      <c r="D131" s="24"/>
      <c r="E131" s="29"/>
      <c r="F131" s="29"/>
      <c r="G131" s="29"/>
      <c r="H131" s="29"/>
      <c r="I131" s="29"/>
      <c r="J131" s="29"/>
      <c r="K131" s="50"/>
      <c r="L131" s="50"/>
      <c r="M131" s="29"/>
      <c r="N131" s="29"/>
    </row>
    <row r="132" spans="1:15">
      <c r="D132" s="24"/>
      <c r="E132" s="29"/>
      <c r="F132" s="29"/>
      <c r="G132" s="29"/>
      <c r="H132" s="29"/>
      <c r="I132" s="29"/>
      <c r="J132" s="29"/>
      <c r="K132" s="50"/>
      <c r="L132" s="50"/>
      <c r="M132" s="29"/>
      <c r="N132" s="29"/>
    </row>
    <row r="133" spans="1:15">
      <c r="D133" s="24"/>
      <c r="E133" s="29"/>
      <c r="F133" s="29"/>
      <c r="G133" s="29"/>
      <c r="H133" s="29"/>
      <c r="I133" s="29"/>
      <c r="J133" s="29"/>
      <c r="K133" s="50"/>
      <c r="L133" s="50"/>
      <c r="M133" s="29"/>
      <c r="N133" s="29"/>
    </row>
    <row r="134" spans="1:15">
      <c r="A134" s="51" t="s">
        <v>37</v>
      </c>
      <c r="D134" s="24"/>
      <c r="E134" s="29"/>
      <c r="F134" s="29"/>
      <c r="G134" s="29"/>
      <c r="H134" s="29"/>
      <c r="I134" s="29"/>
      <c r="J134" s="29"/>
      <c r="K134" s="50"/>
      <c r="L134" s="50"/>
      <c r="M134" s="29"/>
      <c r="N134" s="29"/>
    </row>
    <row r="135" spans="1:15">
      <c r="D135" s="24"/>
      <c r="E135" s="29"/>
      <c r="F135" s="29"/>
      <c r="G135" s="29"/>
      <c r="H135" s="29"/>
      <c r="I135" s="29"/>
      <c r="J135" s="29"/>
      <c r="K135" s="50"/>
      <c r="L135" s="50"/>
      <c r="M135" s="29"/>
      <c r="N135" s="29"/>
    </row>
    <row r="136" spans="1:15">
      <c r="D136" s="48"/>
    </row>
    <row r="137" spans="1:15">
      <c r="D137" s="48"/>
    </row>
    <row r="138" spans="1:15">
      <c r="D138" s="48"/>
    </row>
    <row r="139" spans="1:15">
      <c r="D139" s="48"/>
    </row>
    <row r="140" spans="1:15">
      <c r="D140" s="48"/>
    </row>
    <row r="141" spans="1:15">
      <c r="D141" s="48"/>
    </row>
    <row r="142" spans="1:15">
      <c r="D142" s="48"/>
    </row>
    <row r="143" spans="1:15">
      <c r="D143" s="48"/>
    </row>
    <row r="144" spans="1:15">
      <c r="D144" s="48"/>
    </row>
    <row r="145" spans="4:4">
      <c r="D145" s="48"/>
    </row>
    <row r="146" spans="4:4">
      <c r="D146" s="48"/>
    </row>
    <row r="147" spans="4:4">
      <c r="D147" s="48"/>
    </row>
    <row r="148" spans="4:4">
      <c r="D148" s="48"/>
    </row>
    <row r="149" spans="4:4">
      <c r="D149" s="48"/>
    </row>
    <row r="150" spans="4:4">
      <c r="D150" s="48"/>
    </row>
    <row r="151" spans="4:4">
      <c r="D151" s="48"/>
    </row>
    <row r="152" spans="4:4">
      <c r="D152" s="48"/>
    </row>
    <row r="153" spans="4:4">
      <c r="D153" s="48"/>
    </row>
    <row r="242" spans="4:4">
      <c r="D242" s="37"/>
    </row>
  </sheetData>
  <hyperlinks>
    <hyperlink ref="O129" r:id="rId1"/>
  </hyperlinks>
  <pageMargins left="0.25" right="0.25" top="0.75" bottom="0.75" header="0.3" footer="0.3"/>
  <pageSetup paperSize="8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Tables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Nemat Bizhan</dc:creator>
  <cp:lastModifiedBy>Husnia Hushang</cp:lastModifiedBy>
  <cp:revision/>
  <dcterms:created xsi:type="dcterms:W3CDTF">2016-10-19T01:43:52Z</dcterms:created>
  <dcterms:modified xsi:type="dcterms:W3CDTF">2017-07-24T03:02:35Z</dcterms:modified>
</cp:coreProperties>
</file>