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Workspace\Dropbox (Devpolicy)\Research\Datasets\Australian aid statistics\The two budget spreadsheets (latest versions)\"/>
    </mc:Choice>
  </mc:AlternateContent>
  <bookViews>
    <workbookView xWindow="0" yWindow="0" windowWidth="28800" windowHeight="11400" tabRatio="714" activeTab="7"/>
  </bookViews>
  <sheets>
    <sheet name="2018-19 budget" sheetId="12" r:id="rId1"/>
    <sheet name="ODA-GNI time series" sheetId="8" r:id="rId2"/>
    <sheet name="green book comparison" sheetId="22" r:id="rId3"/>
    <sheet name="ODA-exp time series" sheetId="13" r:id="rId4"/>
    <sheet name="aid-defence" sheetId="19" r:id="rId5"/>
    <sheet name="ODA-GNI gr" sheetId="14" r:id="rId6"/>
    <sheet name="ODA gr" sheetId="15" r:id="rId7"/>
    <sheet name="ODA tb" sheetId="16" r:id="rId8"/>
  </sheets>
  <calcPr calcId="162913"/>
</workbook>
</file>

<file path=xl/calcChain.xml><?xml version="1.0" encoding="utf-8"?>
<calcChain xmlns="http://schemas.openxmlformats.org/spreadsheetml/2006/main">
  <c r="F33" i="8" l="1"/>
  <c r="F30" i="8"/>
  <c r="H30" i="8" s="1"/>
  <c r="F29" i="8"/>
  <c r="F27" i="8"/>
  <c r="F25" i="8"/>
  <c r="F22" i="8"/>
  <c r="H22" i="8" s="1"/>
  <c r="F21" i="8"/>
  <c r="F19" i="8"/>
  <c r="F17" i="8"/>
  <c r="F14" i="8"/>
  <c r="H14" i="8" s="1"/>
  <c r="F13"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F34" i="8" s="1"/>
  <c r="E33" i="8"/>
  <c r="E32" i="8"/>
  <c r="F32" i="8" s="1"/>
  <c r="E31" i="8"/>
  <c r="F31" i="8" s="1"/>
  <c r="E30" i="8"/>
  <c r="E29" i="8"/>
  <c r="E28" i="8"/>
  <c r="F28" i="8" s="1"/>
  <c r="E27" i="8"/>
  <c r="E26" i="8"/>
  <c r="F26" i="8" s="1"/>
  <c r="E25" i="8"/>
  <c r="E24" i="8"/>
  <c r="F24" i="8" s="1"/>
  <c r="E23" i="8"/>
  <c r="F23" i="8" s="1"/>
  <c r="E22" i="8"/>
  <c r="E21" i="8"/>
  <c r="E20" i="8"/>
  <c r="F20" i="8" s="1"/>
  <c r="E19" i="8"/>
  <c r="E18" i="8"/>
  <c r="F18" i="8" s="1"/>
  <c r="E17" i="8"/>
  <c r="E16" i="8"/>
  <c r="F16" i="8" s="1"/>
  <c r="E15" i="8"/>
  <c r="F15" i="8" s="1"/>
  <c r="E14" i="8"/>
  <c r="E13" i="8"/>
  <c r="E12" i="8"/>
  <c r="F12" i="8" s="1"/>
  <c r="H28" i="8" l="1"/>
  <c r="H13" i="8"/>
  <c r="H29" i="8"/>
  <c r="H34" i="8"/>
  <c r="H20" i="8"/>
  <c r="H27" i="8"/>
  <c r="H26" i="8"/>
  <c r="H15" i="8"/>
  <c r="H23" i="8"/>
  <c r="H31" i="8"/>
  <c r="H24" i="8"/>
  <c r="H19" i="8"/>
  <c r="H18" i="8"/>
  <c r="H16" i="8"/>
  <c r="H32" i="8"/>
  <c r="H21" i="8"/>
  <c r="H17" i="8"/>
  <c r="H25" i="8"/>
  <c r="H33" i="8"/>
  <c r="B67" i="8" l="1"/>
  <c r="F67" i="8" s="1"/>
  <c r="B66" i="8"/>
  <c r="F66" i="8" s="1"/>
  <c r="B65" i="8"/>
  <c r="F65" i="8" s="1"/>
  <c r="B64" i="8"/>
  <c r="F64" i="8" s="1"/>
  <c r="B63" i="8"/>
  <c r="F63" i="8" s="1"/>
  <c r="B62" i="8"/>
  <c r="F62" i="8" s="1"/>
  <c r="B61" i="8"/>
  <c r="F61" i="8" s="1"/>
  <c r="B60" i="8"/>
  <c r="F60" i="8" s="1"/>
  <c r="B59" i="8"/>
  <c r="F59" i="8" s="1"/>
  <c r="B58" i="8"/>
  <c r="F58" i="8" s="1"/>
  <c r="B57" i="8"/>
  <c r="F57" i="8" s="1"/>
  <c r="B56" i="8"/>
  <c r="F56" i="8" s="1"/>
  <c r="B55" i="8"/>
  <c r="F55" i="8" s="1"/>
  <c r="B54" i="8"/>
  <c r="F54" i="8" s="1"/>
  <c r="B53" i="8"/>
  <c r="F53" i="8" s="1"/>
  <c r="B52" i="8"/>
  <c r="F52" i="8" s="1"/>
  <c r="B51" i="8"/>
  <c r="F51" i="8" s="1"/>
  <c r="B50" i="8"/>
  <c r="F50" i="8" s="1"/>
  <c r="B49" i="8"/>
  <c r="F49" i="8" s="1"/>
  <c r="B48" i="8"/>
  <c r="F48" i="8" s="1"/>
  <c r="B47" i="8"/>
  <c r="F47" i="8" s="1"/>
  <c r="B46" i="8"/>
  <c r="F46" i="8" s="1"/>
  <c r="B45" i="8"/>
  <c r="F45" i="8" s="1"/>
  <c r="B44" i="8"/>
  <c r="F44" i="8" s="1"/>
  <c r="B43" i="8"/>
  <c r="F43" i="8" s="1"/>
  <c r="B42" i="8"/>
  <c r="F42" i="8" s="1"/>
  <c r="B41" i="8"/>
  <c r="F41" i="8" s="1"/>
  <c r="B40" i="8"/>
  <c r="F40" i="8" s="1"/>
  <c r="B39" i="8"/>
  <c r="F39" i="8" s="1"/>
  <c r="B38" i="8"/>
  <c r="F38" i="8" s="1"/>
  <c r="B37" i="8"/>
  <c r="F37" i="8" s="1"/>
  <c r="B36" i="8"/>
  <c r="F36" i="8" s="1"/>
  <c r="B35" i="8"/>
  <c r="F35" i="8" s="1"/>
  <c r="H35" i="8" l="1"/>
  <c r="H52" i="8"/>
  <c r="H60" i="8"/>
  <c r="H59" i="8"/>
  <c r="H45" i="8"/>
  <c r="H62" i="8"/>
  <c r="H43" i="8"/>
  <c r="H36" i="8"/>
  <c r="H61" i="8"/>
  <c r="H54" i="8"/>
  <c r="H55" i="8"/>
  <c r="H48" i="8"/>
  <c r="H56" i="8"/>
  <c r="H64" i="8"/>
  <c r="H67" i="8"/>
  <c r="H37" i="8"/>
  <c r="H38" i="8"/>
  <c r="H39" i="8"/>
  <c r="H63" i="8"/>
  <c r="H49" i="8"/>
  <c r="H57" i="8"/>
  <c r="H65" i="8"/>
  <c r="H51" i="8"/>
  <c r="H44" i="8"/>
  <c r="H53" i="8"/>
  <c r="H46" i="8"/>
  <c r="H47" i="8"/>
  <c r="H40" i="8"/>
  <c r="H41" i="8"/>
  <c r="H42" i="8"/>
  <c r="H50" i="8"/>
  <c r="H58" i="8"/>
  <c r="H66"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D98" i="19" l="1"/>
  <c r="C98" i="19"/>
  <c r="B98" i="19"/>
  <c r="A105" i="19"/>
  <c r="A104" i="19"/>
  <c r="L59" i="19" l="1"/>
  <c r="L58" i="19"/>
  <c r="L57" i="19"/>
  <c r="L56" i="19"/>
  <c r="L55" i="19"/>
  <c r="L54" i="19"/>
  <c r="L53" i="19"/>
  <c r="L52" i="19"/>
  <c r="L51" i="19"/>
  <c r="L50" i="19"/>
  <c r="L49" i="19"/>
  <c r="L48" i="19"/>
  <c r="L47" i="19"/>
  <c r="L46" i="19"/>
  <c r="L45" i="19"/>
  <c r="L44" i="19"/>
  <c r="L43" i="19"/>
  <c r="L42" i="19"/>
  <c r="L41" i="19"/>
  <c r="L40" i="19"/>
  <c r="L39" i="19"/>
  <c r="L38" i="19"/>
  <c r="L37" i="19"/>
  <c r="L36" i="19"/>
  <c r="L35" i="19"/>
  <c r="L34" i="19"/>
  <c r="L33" i="19"/>
  <c r="L32" i="19"/>
  <c r="L31" i="19"/>
  <c r="L30" i="19"/>
  <c r="L29" i="19"/>
  <c r="L28" i="19"/>
  <c r="L27" i="19"/>
  <c r="L26" i="19"/>
  <c r="L25" i="19"/>
  <c r="L24" i="19"/>
  <c r="L23" i="19"/>
  <c r="L22" i="19"/>
  <c r="L21" i="19"/>
  <c r="L20" i="19"/>
  <c r="L19" i="19"/>
  <c r="L18"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G3" i="12" l="1"/>
  <c r="E8" i="22"/>
  <c r="G8" i="22" s="1"/>
  <c r="K8" i="22"/>
  <c r="E9" i="22"/>
  <c r="G9" i="22" s="1"/>
  <c r="K9" i="22"/>
  <c r="E10" i="22"/>
  <c r="G10" i="22" s="1"/>
  <c r="K10" i="22"/>
  <c r="E11" i="22"/>
  <c r="G11" i="22" s="1"/>
  <c r="K11" i="22"/>
  <c r="E12" i="22"/>
  <c r="G12" i="22" s="1"/>
  <c r="K12" i="22"/>
  <c r="E13" i="22"/>
  <c r="G13" i="22" s="1"/>
  <c r="K13" i="22"/>
  <c r="E14" i="22"/>
  <c r="G14" i="22"/>
  <c r="K14" i="22"/>
  <c r="E15" i="22"/>
  <c r="G15" i="22" s="1"/>
  <c r="K15" i="22"/>
  <c r="E16" i="22"/>
  <c r="G16" i="22" s="1"/>
  <c r="K16" i="22"/>
  <c r="E17" i="22"/>
  <c r="G17" i="22" s="1"/>
  <c r="K17" i="22"/>
  <c r="E18" i="22"/>
  <c r="G18" i="22" s="1"/>
  <c r="K18" i="22"/>
  <c r="E19" i="22"/>
  <c r="G19" i="22" s="1"/>
  <c r="K19" i="22"/>
  <c r="E20" i="22"/>
  <c r="G20" i="22" s="1"/>
  <c r="K20" i="22"/>
  <c r="E21" i="22"/>
  <c r="G21" i="22" s="1"/>
  <c r="K21" i="22"/>
  <c r="E22" i="22"/>
  <c r="G22" i="22" s="1"/>
  <c r="K22" i="22"/>
  <c r="E23" i="22"/>
  <c r="G23" i="22" s="1"/>
  <c r="K23" i="22"/>
  <c r="E24" i="22"/>
  <c r="G24" i="22" s="1"/>
  <c r="K24" i="22"/>
  <c r="E25" i="22"/>
  <c r="G25" i="22" s="1"/>
  <c r="K25" i="22"/>
  <c r="E26" i="22"/>
  <c r="G26" i="22" s="1"/>
  <c r="K26" i="22"/>
  <c r="E27" i="22"/>
  <c r="G27" i="22" s="1"/>
  <c r="K27" i="22"/>
  <c r="E28" i="22"/>
  <c r="G28" i="22" s="1"/>
  <c r="K28" i="22"/>
  <c r="E29" i="22"/>
  <c r="G29" i="22"/>
  <c r="K29" i="22"/>
  <c r="E30" i="22"/>
  <c r="G30" i="22" s="1"/>
  <c r="K30" i="22"/>
  <c r="E31" i="22"/>
  <c r="G31" i="22" s="1"/>
  <c r="K31" i="22"/>
  <c r="E32" i="22"/>
  <c r="G32" i="22"/>
  <c r="K32" i="22"/>
  <c r="E33" i="22"/>
  <c r="G33" i="22" s="1"/>
  <c r="K33" i="22"/>
  <c r="E34" i="22"/>
  <c r="G34" i="22"/>
  <c r="K34" i="22"/>
  <c r="E35" i="22"/>
  <c r="G35" i="22" s="1"/>
  <c r="K35" i="22"/>
  <c r="E36" i="22"/>
  <c r="G36" i="22" s="1"/>
  <c r="K36" i="22"/>
  <c r="E37" i="22"/>
  <c r="G37" i="22" s="1"/>
  <c r="K37" i="22"/>
  <c r="E38" i="22"/>
  <c r="G38" i="22" s="1"/>
  <c r="K38" i="22"/>
  <c r="E39" i="22"/>
  <c r="G39" i="22" s="1"/>
  <c r="K39" i="22"/>
  <c r="E40" i="22"/>
  <c r="G40" i="22"/>
  <c r="K40" i="22"/>
  <c r="E41" i="22"/>
  <c r="G41" i="22" s="1"/>
  <c r="K41" i="22"/>
  <c r="E42" i="22"/>
  <c r="G42" i="22"/>
  <c r="K42" i="22"/>
  <c r="E43" i="22"/>
  <c r="G43" i="22" s="1"/>
  <c r="K43" i="22"/>
  <c r="E44" i="22"/>
  <c r="G44" i="22" s="1"/>
  <c r="K44" i="22"/>
  <c r="E45" i="22"/>
  <c r="G45" i="22" s="1"/>
  <c r="K45" i="22"/>
  <c r="E46" i="22"/>
  <c r="G46" i="22" s="1"/>
  <c r="K46" i="22"/>
  <c r="E47" i="22"/>
  <c r="G47" i="22" s="1"/>
  <c r="K47" i="22"/>
  <c r="E48" i="22"/>
  <c r="G48" i="22"/>
  <c r="K48" i="22"/>
  <c r="E49" i="22"/>
  <c r="G49" i="22" s="1"/>
  <c r="K49" i="22"/>
  <c r="E50" i="22"/>
  <c r="G50" i="22" s="1"/>
  <c r="P12" i="12" l="1"/>
  <c r="P11" i="12"/>
  <c r="O14" i="12"/>
  <c r="R68" i="15"/>
  <c r="R67" i="15"/>
  <c r="R66" i="15"/>
  <c r="R65" i="15"/>
  <c r="R64" i="15"/>
  <c r="R63" i="15"/>
  <c r="R62" i="15"/>
  <c r="R61" i="15"/>
  <c r="A69" i="19" l="1"/>
  <c r="A68" i="19"/>
  <c r="A67" i="19"/>
  <c r="A66" i="19"/>
  <c r="B76" i="19" s="1"/>
  <c r="A65" i="19"/>
  <c r="A64" i="19"/>
  <c r="A63" i="19"/>
  <c r="A62" i="19"/>
  <c r="A61" i="19"/>
  <c r="A60" i="19"/>
  <c r="A59" i="19"/>
  <c r="A58" i="19"/>
  <c r="A57" i="19"/>
  <c r="A56" i="19"/>
  <c r="A55" i="19"/>
  <c r="A54" i="19"/>
  <c r="B72" i="19" s="1"/>
  <c r="A53" i="19"/>
  <c r="A52" i="19"/>
  <c r="A51" i="19"/>
  <c r="A50" i="19"/>
  <c r="A49" i="19"/>
  <c r="A48" i="19"/>
  <c r="A47" i="19"/>
  <c r="A46" i="19"/>
  <c r="A45" i="19"/>
  <c r="A44" i="19"/>
  <c r="A43" i="19"/>
  <c r="B92" i="19" s="1"/>
  <c r="B94" i="19" s="1"/>
  <c r="A42" i="19"/>
  <c r="A41" i="19"/>
  <c r="A40" i="19"/>
  <c r="A39" i="19"/>
  <c r="A38" i="19"/>
  <c r="A37" i="19"/>
  <c r="A36" i="19"/>
  <c r="A35" i="19"/>
  <c r="A34" i="19"/>
  <c r="A33" i="19"/>
  <c r="A32" i="19"/>
  <c r="A31" i="19"/>
  <c r="A30" i="19"/>
  <c r="B89" i="19" s="1"/>
  <c r="B91" i="19" s="1"/>
  <c r="A29" i="19"/>
  <c r="A28" i="19"/>
  <c r="A27" i="19"/>
  <c r="A26" i="19"/>
  <c r="A25" i="19"/>
  <c r="A24" i="19"/>
  <c r="A23" i="19"/>
  <c r="A22" i="19"/>
  <c r="B86" i="19" s="1"/>
  <c r="B88" i="19" s="1"/>
  <c r="A21" i="19"/>
  <c r="A20" i="19"/>
  <c r="A19" i="19"/>
  <c r="A18" i="19"/>
  <c r="A17" i="19"/>
  <c r="A16" i="19"/>
  <c r="A15" i="19"/>
  <c r="A14" i="19"/>
  <c r="A13" i="19"/>
  <c r="A12" i="19"/>
  <c r="A11" i="19"/>
  <c r="A10" i="19"/>
  <c r="A9" i="19"/>
  <c r="B82" i="19" s="1"/>
  <c r="D64" i="19"/>
  <c r="D63" i="19"/>
  <c r="D62" i="19"/>
  <c r="D61" i="19"/>
  <c r="D60" i="19"/>
  <c r="D59" i="19"/>
  <c r="D58" i="19"/>
  <c r="D57" i="19"/>
  <c r="D56" i="19"/>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D14" i="19"/>
  <c r="D13" i="19"/>
  <c r="D12" i="19"/>
  <c r="D11" i="19"/>
  <c r="D10" i="19"/>
  <c r="D9" i="19"/>
  <c r="B79" i="19" l="1"/>
  <c r="B95" i="19"/>
  <c r="B78" i="19"/>
  <c r="B83" i="19"/>
  <c r="B85" i="19" s="1"/>
  <c r="B75" i="19"/>
  <c r="B73" i="19"/>
  <c r="J47" i="19"/>
  <c r="J51" i="19"/>
  <c r="J49" i="19"/>
  <c r="E10" i="19"/>
  <c r="I10" i="19"/>
  <c r="E22" i="19"/>
  <c r="I22" i="19"/>
  <c r="E34" i="19"/>
  <c r="I34" i="19"/>
  <c r="E54" i="19"/>
  <c r="I54" i="19"/>
  <c r="E62" i="19"/>
  <c r="I62" i="19"/>
  <c r="E11" i="19"/>
  <c r="I11" i="19"/>
  <c r="E15" i="19"/>
  <c r="I15" i="19"/>
  <c r="E19" i="19"/>
  <c r="I19" i="19"/>
  <c r="E23" i="19"/>
  <c r="I23" i="19"/>
  <c r="E27" i="19"/>
  <c r="I27" i="19"/>
  <c r="E31" i="19"/>
  <c r="I31" i="19"/>
  <c r="E35" i="19"/>
  <c r="I35" i="19"/>
  <c r="E39" i="19"/>
  <c r="I39" i="19"/>
  <c r="E43" i="19"/>
  <c r="I43" i="19"/>
  <c r="E47" i="19"/>
  <c r="I47" i="19"/>
  <c r="E51" i="19"/>
  <c r="I51" i="19"/>
  <c r="E55" i="19"/>
  <c r="I55" i="19"/>
  <c r="E59" i="19"/>
  <c r="I59" i="19"/>
  <c r="E63" i="19"/>
  <c r="I63" i="19"/>
  <c r="E67" i="19"/>
  <c r="I67" i="19"/>
  <c r="E18" i="19"/>
  <c r="I18" i="19"/>
  <c r="E30" i="19"/>
  <c r="I30" i="19"/>
  <c r="E42" i="19"/>
  <c r="I42" i="19"/>
  <c r="E50" i="19"/>
  <c r="I50" i="19"/>
  <c r="E66" i="19"/>
  <c r="I66" i="19"/>
  <c r="E12" i="19"/>
  <c r="I12" i="19"/>
  <c r="E16" i="19"/>
  <c r="I16" i="19"/>
  <c r="E20" i="19"/>
  <c r="I20" i="19"/>
  <c r="E24" i="19"/>
  <c r="I24" i="19"/>
  <c r="E28" i="19"/>
  <c r="I28" i="19"/>
  <c r="E32" i="19"/>
  <c r="I32" i="19"/>
  <c r="E36" i="19"/>
  <c r="I36" i="19"/>
  <c r="E40" i="19"/>
  <c r="I40" i="19"/>
  <c r="E44" i="19"/>
  <c r="I44" i="19"/>
  <c r="E48" i="19"/>
  <c r="I48" i="19"/>
  <c r="E52" i="19"/>
  <c r="I52" i="19"/>
  <c r="E56" i="19"/>
  <c r="I56" i="19"/>
  <c r="E60" i="19"/>
  <c r="I60" i="19"/>
  <c r="E64" i="19"/>
  <c r="I64" i="19"/>
  <c r="E68" i="19"/>
  <c r="I68" i="19"/>
  <c r="E14" i="19"/>
  <c r="I14" i="19"/>
  <c r="E26" i="19"/>
  <c r="I26" i="19"/>
  <c r="E38" i="19"/>
  <c r="I38" i="19"/>
  <c r="E46" i="19"/>
  <c r="I46" i="19"/>
  <c r="E58" i="19"/>
  <c r="I58" i="19"/>
  <c r="E9" i="19"/>
  <c r="I9" i="19"/>
  <c r="E13" i="19"/>
  <c r="I13" i="19"/>
  <c r="E17" i="19"/>
  <c r="I17" i="19"/>
  <c r="E21" i="19"/>
  <c r="I21" i="19"/>
  <c r="E25" i="19"/>
  <c r="I25" i="19"/>
  <c r="E29" i="19"/>
  <c r="I29" i="19"/>
  <c r="E33" i="19"/>
  <c r="I33" i="19"/>
  <c r="E37" i="19"/>
  <c r="I37" i="19"/>
  <c r="E41" i="19"/>
  <c r="I41" i="19"/>
  <c r="E45" i="19"/>
  <c r="I45" i="19"/>
  <c r="E49" i="19"/>
  <c r="I49" i="19"/>
  <c r="E53" i="19"/>
  <c r="I53" i="19"/>
  <c r="E57" i="19"/>
  <c r="I57" i="19"/>
  <c r="E61" i="19"/>
  <c r="I61" i="19"/>
  <c r="E65" i="19"/>
  <c r="I65" i="19"/>
  <c r="E69" i="19"/>
  <c r="I69" i="19"/>
  <c r="F12" i="19"/>
  <c r="J12" i="19"/>
  <c r="F20" i="19"/>
  <c r="J20" i="19"/>
  <c r="F32" i="19"/>
  <c r="J32" i="19"/>
  <c r="F40" i="19"/>
  <c r="J40" i="19"/>
  <c r="F52" i="19"/>
  <c r="J52" i="19"/>
  <c r="F56" i="19"/>
  <c r="J56" i="19"/>
  <c r="F9" i="19"/>
  <c r="J9" i="19"/>
  <c r="F13" i="19"/>
  <c r="J13" i="19"/>
  <c r="F21" i="19"/>
  <c r="J21" i="19"/>
  <c r="F25" i="19"/>
  <c r="J25" i="19"/>
  <c r="F29" i="19"/>
  <c r="J29" i="19"/>
  <c r="F33" i="19"/>
  <c r="J33" i="19"/>
  <c r="F37" i="19"/>
  <c r="J37" i="19"/>
  <c r="F41" i="19"/>
  <c r="J41" i="19"/>
  <c r="F45" i="19"/>
  <c r="J45" i="19"/>
  <c r="G53" i="19"/>
  <c r="J53" i="19"/>
  <c r="G57" i="19"/>
  <c r="J57" i="19"/>
  <c r="F10" i="19"/>
  <c r="J10" i="19"/>
  <c r="F14" i="19"/>
  <c r="J14" i="19"/>
  <c r="F18" i="19"/>
  <c r="J18" i="19"/>
  <c r="F22" i="19"/>
  <c r="J22" i="19"/>
  <c r="F26" i="19"/>
  <c r="J26" i="19"/>
  <c r="F30" i="19"/>
  <c r="J30" i="19"/>
  <c r="F34" i="19"/>
  <c r="J34" i="19"/>
  <c r="F38" i="19"/>
  <c r="J38" i="19"/>
  <c r="F42" i="19"/>
  <c r="J42" i="19"/>
  <c r="F46" i="19"/>
  <c r="J46" i="19"/>
  <c r="F50" i="19"/>
  <c r="J50" i="19"/>
  <c r="F54" i="19"/>
  <c r="J54" i="19"/>
  <c r="F58" i="19"/>
  <c r="J58" i="19"/>
  <c r="F62" i="19"/>
  <c r="J62" i="19"/>
  <c r="F11" i="19"/>
  <c r="J11" i="19"/>
  <c r="F15" i="19"/>
  <c r="J15" i="19"/>
  <c r="F19" i="19"/>
  <c r="J19" i="19"/>
  <c r="F23" i="19"/>
  <c r="J23" i="19"/>
  <c r="F27" i="19"/>
  <c r="J27" i="19"/>
  <c r="F31" i="19"/>
  <c r="J31" i="19"/>
  <c r="F35" i="19"/>
  <c r="J35" i="19"/>
  <c r="F39" i="19"/>
  <c r="J39" i="19"/>
  <c r="F43" i="19"/>
  <c r="J43" i="19"/>
  <c r="F55" i="19"/>
  <c r="J55" i="19"/>
  <c r="F59" i="19"/>
  <c r="J59" i="19"/>
  <c r="F63" i="19"/>
  <c r="J63" i="19"/>
  <c r="F24" i="19"/>
  <c r="J24" i="19"/>
  <c r="F44" i="19"/>
  <c r="J44" i="19"/>
  <c r="G64" i="19"/>
  <c r="J64" i="19"/>
  <c r="F16" i="19"/>
  <c r="J16" i="19"/>
  <c r="F28" i="19"/>
  <c r="J28" i="19"/>
  <c r="F36" i="19"/>
  <c r="J36" i="19"/>
  <c r="F48" i="19"/>
  <c r="J48" i="19"/>
  <c r="F60" i="19"/>
  <c r="J60" i="19"/>
  <c r="F17" i="19"/>
  <c r="J17" i="19"/>
  <c r="G61" i="19"/>
  <c r="J61" i="19"/>
  <c r="G54" i="19"/>
  <c r="F51" i="19"/>
  <c r="G51" i="19"/>
  <c r="K51" i="19" s="1"/>
  <c r="G58" i="19"/>
  <c r="G62" i="19"/>
  <c r="F57" i="19"/>
  <c r="F61" i="19"/>
  <c r="G55" i="19"/>
  <c r="G59" i="19"/>
  <c r="G63" i="19"/>
  <c r="F49" i="19"/>
  <c r="G52" i="19"/>
  <c r="G56" i="19"/>
  <c r="G60" i="19"/>
  <c r="F53" i="19"/>
  <c r="F47" i="19"/>
  <c r="K47" i="19" l="1"/>
  <c r="K49" i="19"/>
  <c r="N61" i="19"/>
  <c r="N45" i="19"/>
  <c r="N29" i="19"/>
  <c r="N13" i="19"/>
  <c r="N38" i="19"/>
  <c r="N64" i="19"/>
  <c r="N48" i="19"/>
  <c r="N32" i="19"/>
  <c r="N16" i="19"/>
  <c r="N42" i="19"/>
  <c r="N63" i="19"/>
  <c r="N47" i="19"/>
  <c r="N31" i="19"/>
  <c r="N15" i="19"/>
  <c r="N34" i="19"/>
  <c r="N57" i="19"/>
  <c r="N41" i="19"/>
  <c r="N25" i="19"/>
  <c r="N9" i="19"/>
  <c r="N26" i="19"/>
  <c r="N60" i="19"/>
  <c r="N44" i="19"/>
  <c r="N28" i="19"/>
  <c r="N12" i="19"/>
  <c r="N30" i="19"/>
  <c r="N59" i="19"/>
  <c r="N43" i="19"/>
  <c r="N27" i="19"/>
  <c r="N11" i="19"/>
  <c r="N22" i="19"/>
  <c r="N69" i="19"/>
  <c r="N53" i="19"/>
  <c r="N37" i="19"/>
  <c r="N21" i="19"/>
  <c r="N58" i="19"/>
  <c r="N14" i="19"/>
  <c r="N56" i="19"/>
  <c r="N40" i="19"/>
  <c r="N24" i="19"/>
  <c r="N66" i="19"/>
  <c r="N18" i="19"/>
  <c r="N55" i="19"/>
  <c r="N39" i="19"/>
  <c r="N23" i="19"/>
  <c r="N62" i="19"/>
  <c r="N10" i="19"/>
  <c r="N65" i="19"/>
  <c r="N49" i="19"/>
  <c r="N33" i="19"/>
  <c r="N17" i="19"/>
  <c r="N46" i="19"/>
  <c r="N68" i="19"/>
  <c r="N52" i="19"/>
  <c r="N36" i="19"/>
  <c r="N20" i="19"/>
  <c r="N50" i="19"/>
  <c r="N67" i="19"/>
  <c r="N51" i="19"/>
  <c r="N35" i="19"/>
  <c r="N19" i="19"/>
  <c r="N54" i="19"/>
  <c r="K61" i="19"/>
  <c r="K16" i="19"/>
  <c r="K39" i="19"/>
  <c r="K31" i="19"/>
  <c r="K23" i="19"/>
  <c r="K15" i="19"/>
  <c r="K46" i="19"/>
  <c r="K38" i="19"/>
  <c r="K30" i="19"/>
  <c r="K22" i="19"/>
  <c r="K14" i="19"/>
  <c r="K57" i="19"/>
  <c r="K45" i="19"/>
  <c r="K37" i="19"/>
  <c r="K29" i="19"/>
  <c r="K21" i="19"/>
  <c r="K9" i="19"/>
  <c r="K52" i="19"/>
  <c r="K32" i="19"/>
  <c r="K12" i="19"/>
  <c r="K60" i="19"/>
  <c r="K63" i="19"/>
  <c r="K48" i="19"/>
  <c r="K28" i="19"/>
  <c r="K24" i="19"/>
  <c r="K36" i="19"/>
  <c r="K44" i="19"/>
  <c r="K17" i="19"/>
  <c r="K64" i="19"/>
  <c r="K43" i="19"/>
  <c r="K35" i="19"/>
  <c r="K27" i="19"/>
  <c r="K19" i="19"/>
  <c r="K11" i="19"/>
  <c r="K50" i="19"/>
  <c r="K42" i="19"/>
  <c r="K34" i="19"/>
  <c r="K26" i="19"/>
  <c r="K18" i="19"/>
  <c r="K10" i="19"/>
  <c r="K53" i="19"/>
  <c r="K41" i="19"/>
  <c r="K33" i="19"/>
  <c r="K25" i="19"/>
  <c r="K13" i="19"/>
  <c r="K40" i="19"/>
  <c r="K20" i="19"/>
  <c r="K59" i="19"/>
  <c r="K62" i="19"/>
  <c r="K55" i="19"/>
  <c r="K58" i="19"/>
  <c r="K56" i="19"/>
  <c r="K54" i="19"/>
  <c r="B7" i="12"/>
  <c r="B6" i="12"/>
  <c r="B5" i="12"/>
  <c r="B4" i="12"/>
  <c r="B3" i="12"/>
  <c r="C55" i="13" l="1"/>
  <c r="L69" i="19" s="1"/>
  <c r="A3" i="16"/>
  <c r="B3" i="16"/>
  <c r="A4" i="16"/>
  <c r="B4" i="16"/>
  <c r="A5" i="16"/>
  <c r="B5" i="16"/>
  <c r="A6" i="16"/>
  <c r="B6" i="16"/>
  <c r="A7" i="16"/>
  <c r="B7" i="16"/>
  <c r="A8" i="16"/>
  <c r="B8" i="16"/>
  <c r="A9" i="16"/>
  <c r="B9" i="16"/>
  <c r="A10" i="16"/>
  <c r="B10" i="16"/>
  <c r="A11" i="16"/>
  <c r="B11" i="16"/>
  <c r="H8" i="16" l="1"/>
  <c r="E11" i="16"/>
  <c r="H5" i="16"/>
  <c r="E6" i="16"/>
  <c r="E9" i="16"/>
  <c r="E7" i="16"/>
  <c r="E4" i="16"/>
  <c r="E10" i="16"/>
  <c r="E8" i="16"/>
  <c r="H4" i="16"/>
  <c r="H11" i="16"/>
  <c r="H10" i="16"/>
  <c r="H7" i="16"/>
  <c r="H6" i="16"/>
  <c r="H9" i="16"/>
  <c r="E5" i="16"/>
  <c r="B28" i="13" l="1"/>
  <c r="D28" i="13" s="1"/>
  <c r="B27" i="13"/>
  <c r="D27" i="13" s="1"/>
  <c r="B26" i="13"/>
  <c r="D26" i="13" s="1"/>
  <c r="B25" i="13"/>
  <c r="D25" i="13" s="1"/>
  <c r="B24" i="13"/>
  <c r="D24" i="13" s="1"/>
  <c r="B23" i="13"/>
  <c r="D23" i="13" s="1"/>
  <c r="B22" i="13"/>
  <c r="D22" i="13" s="1"/>
  <c r="B21" i="13"/>
  <c r="D21" i="13" s="1"/>
  <c r="B20" i="13"/>
  <c r="D20" i="13" s="1"/>
  <c r="B19" i="13"/>
  <c r="D19" i="13" s="1"/>
  <c r="B18" i="13"/>
  <c r="D18" i="13" s="1"/>
  <c r="B17" i="13"/>
  <c r="D17" i="13" s="1"/>
  <c r="B16" i="13"/>
  <c r="D16" i="13" s="1"/>
  <c r="B15" i="13"/>
  <c r="D15" i="13" s="1"/>
  <c r="B14" i="13"/>
  <c r="D14" i="13" s="1"/>
  <c r="B13" i="13"/>
  <c r="D13" i="13" s="1"/>
  <c r="B12" i="13"/>
  <c r="D12" i="13" s="1"/>
  <c r="B11" i="13"/>
  <c r="D11" i="13" s="1"/>
  <c r="B10" i="13"/>
  <c r="D10" i="13" s="1"/>
  <c r="B9" i="13"/>
  <c r="D9" i="13" s="1"/>
  <c r="B8" i="13"/>
  <c r="D8" i="13" s="1"/>
  <c r="B7" i="13"/>
  <c r="D7" i="13" s="1"/>
  <c r="B6" i="13"/>
  <c r="D6" i="13" s="1"/>
  <c r="B5" i="13"/>
  <c r="D5" i="13" s="1"/>
  <c r="B4" i="13"/>
  <c r="D4" i="13" s="1"/>
  <c r="BK9" i="19" l="1"/>
  <c r="BJ9" i="19"/>
  <c r="BI9" i="19"/>
  <c r="BH9" i="19"/>
  <c r="BG9" i="19"/>
  <c r="BF9" i="19"/>
  <c r="BE9" i="19"/>
  <c r="BD9" i="19"/>
  <c r="BC9" i="19"/>
  <c r="BB9" i="19"/>
  <c r="BO4" i="19"/>
  <c r="BL9" i="19" l="1"/>
  <c r="BO5" i="19"/>
  <c r="G4" i="12" l="1"/>
  <c r="G5" i="12" l="1"/>
  <c r="G6" i="12" l="1"/>
  <c r="G7" i="12"/>
  <c r="B12" i="16" l="1"/>
  <c r="E12" i="16" s="1"/>
  <c r="D12" i="12"/>
  <c r="F12" i="12" s="1"/>
  <c r="C12" i="12"/>
  <c r="E12" i="12"/>
  <c r="B72" i="8"/>
  <c r="Z12" i="12"/>
  <c r="V8" i="12"/>
  <c r="C68" i="8" s="1"/>
  <c r="F42" i="13"/>
  <c r="F41" i="13"/>
  <c r="F40" i="13"/>
  <c r="F39" i="13"/>
  <c r="F38" i="13"/>
  <c r="F37" i="13"/>
  <c r="F36" i="13"/>
  <c r="F35" i="13"/>
  <c r="F34" i="13"/>
  <c r="F33" i="13"/>
  <c r="C11" i="12"/>
  <c r="E11" i="12"/>
  <c r="E10" i="12"/>
  <c r="C10" i="12"/>
  <c r="C54" i="13"/>
  <c r="L68" i="19" s="1"/>
  <c r="C53" i="13"/>
  <c r="L67" i="19" s="1"/>
  <c r="B71" i="8"/>
  <c r="B70" i="8"/>
  <c r="H3" i="12"/>
  <c r="Z11" i="12"/>
  <c r="D11" i="12"/>
  <c r="F11" i="12" s="1"/>
  <c r="Z10" i="12"/>
  <c r="P10" i="12"/>
  <c r="D10" i="12"/>
  <c r="F10" i="12" s="1"/>
  <c r="J22" i="8"/>
  <c r="J21" i="8"/>
  <c r="J20" i="8"/>
  <c r="J19" i="8"/>
  <c r="J18" i="8"/>
  <c r="J17" i="8"/>
  <c r="J16" i="8"/>
  <c r="J15" i="8"/>
  <c r="J14" i="8"/>
  <c r="J13" i="8"/>
  <c r="Y3" i="12"/>
  <c r="C46" i="13"/>
  <c r="L60" i="19" s="1"/>
  <c r="C47" i="13"/>
  <c r="L61" i="19" s="1"/>
  <c r="C48" i="13"/>
  <c r="L62" i="19" s="1"/>
  <c r="C49" i="13"/>
  <c r="L63" i="19" s="1"/>
  <c r="C50" i="13"/>
  <c r="L64" i="19" s="1"/>
  <c r="C51" i="13"/>
  <c r="L65" i="19" s="1"/>
  <c r="C52" i="13"/>
  <c r="L66" i="19" s="1"/>
  <c r="B69" i="8"/>
  <c r="Y5" i="12"/>
  <c r="Y6" i="12"/>
  <c r="Y7" i="12"/>
  <c r="Y4" i="12"/>
  <c r="B49" i="13"/>
  <c r="B68" i="8"/>
  <c r="B46" i="13"/>
  <c r="B30" i="13"/>
  <c r="D30" i="13" s="1"/>
  <c r="B31" i="13"/>
  <c r="D31" i="13" s="1"/>
  <c r="B32" i="13"/>
  <c r="D32" i="13" s="1"/>
  <c r="B33" i="13"/>
  <c r="D33" i="13" s="1"/>
  <c r="B34" i="13"/>
  <c r="D34" i="13" s="1"/>
  <c r="B35" i="13"/>
  <c r="D35" i="13" s="1"/>
  <c r="B36" i="13"/>
  <c r="D36" i="13" s="1"/>
  <c r="B37" i="13"/>
  <c r="D37" i="13" s="1"/>
  <c r="B38" i="13"/>
  <c r="D38" i="13" s="1"/>
  <c r="B39" i="13"/>
  <c r="D39" i="13" s="1"/>
  <c r="B40" i="13"/>
  <c r="D40" i="13" s="1"/>
  <c r="B41" i="13"/>
  <c r="D41" i="13" s="1"/>
  <c r="B42" i="13"/>
  <c r="D42" i="13" s="1"/>
  <c r="B43" i="13"/>
  <c r="D43" i="13" s="1"/>
  <c r="B44" i="13"/>
  <c r="D44" i="13" s="1"/>
  <c r="B45" i="13"/>
  <c r="D45" i="13" s="1"/>
  <c r="B29" i="13"/>
  <c r="D29" i="13" s="1"/>
  <c r="Z9" i="12"/>
  <c r="P9" i="12"/>
  <c r="E9" i="12"/>
  <c r="D9" i="12"/>
  <c r="F9" i="12" s="1"/>
  <c r="C9" i="12"/>
  <c r="Z8" i="12"/>
  <c r="P8" i="12"/>
  <c r="E8" i="12"/>
  <c r="D8" i="12"/>
  <c r="F8" i="12" s="1"/>
  <c r="C8" i="12"/>
  <c r="Z7" i="12"/>
  <c r="P7" i="12"/>
  <c r="E7" i="12"/>
  <c r="D7" i="12"/>
  <c r="F7" i="12" s="1"/>
  <c r="C7" i="12"/>
  <c r="Z6" i="12"/>
  <c r="P6" i="12"/>
  <c r="E6" i="12"/>
  <c r="D6" i="12"/>
  <c r="F6" i="12" s="1"/>
  <c r="C6" i="12"/>
  <c r="Z5" i="12"/>
  <c r="P5" i="12"/>
  <c r="E5" i="12"/>
  <c r="D5" i="12"/>
  <c r="F5" i="12" s="1"/>
  <c r="C5" i="12"/>
  <c r="Z4" i="12"/>
  <c r="P4" i="12"/>
  <c r="E4" i="12"/>
  <c r="D4" i="12"/>
  <c r="F4" i="12" s="1"/>
  <c r="C4" i="12"/>
  <c r="Z3" i="12"/>
  <c r="J2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63" i="8"/>
  <c r="D67" i="19" l="1"/>
  <c r="G67" i="19" s="1"/>
  <c r="Y8" i="12"/>
  <c r="I68" i="8" s="1"/>
  <c r="H65" i="19"/>
  <c r="H12" i="16"/>
  <c r="B55" i="13"/>
  <c r="D55" i="13" s="1"/>
  <c r="D69" i="19"/>
  <c r="B54" i="13"/>
  <c r="D54" i="13" s="1"/>
  <c r="D68" i="19"/>
  <c r="B51" i="13"/>
  <c r="D51" i="13" s="1"/>
  <c r="D65" i="19"/>
  <c r="B52" i="13"/>
  <c r="D52" i="13" s="1"/>
  <c r="D66" i="19"/>
  <c r="J67" i="8"/>
  <c r="V9" i="12"/>
  <c r="C69" i="8" s="1"/>
  <c r="J64" i="8"/>
  <c r="J71" i="8"/>
  <c r="J72" i="8"/>
  <c r="B47" i="13"/>
  <c r="D47" i="13" s="1"/>
  <c r="H36" i="13"/>
  <c r="B48" i="13"/>
  <c r="D48" i="13" s="1"/>
  <c r="D49" i="13"/>
  <c r="B50" i="13"/>
  <c r="D50" i="13" s="1"/>
  <c r="H4" i="12"/>
  <c r="J66" i="8"/>
  <c r="J70" i="8"/>
  <c r="D46" i="13"/>
  <c r="J69" i="8"/>
  <c r="B53" i="13"/>
  <c r="D53" i="13" s="1"/>
  <c r="J68" i="8"/>
  <c r="J65" i="8"/>
  <c r="H42" i="13" l="1"/>
  <c r="H38" i="13"/>
  <c r="V10" i="12"/>
  <c r="H66" i="19"/>
  <c r="G66" i="19"/>
  <c r="G68" i="19"/>
  <c r="G65" i="19"/>
  <c r="J65" i="19"/>
  <c r="G69" i="19"/>
  <c r="H41" i="13"/>
  <c r="Y9" i="12"/>
  <c r="I69" i="8" s="1"/>
  <c r="H39" i="13"/>
  <c r="H5" i="12"/>
  <c r="H34" i="13"/>
  <c r="H37" i="13"/>
  <c r="H35" i="13"/>
  <c r="H40" i="13"/>
  <c r="Y10" i="12" l="1"/>
  <c r="I70" i="8" s="1"/>
  <c r="C70" i="8"/>
  <c r="V11" i="12"/>
  <c r="C71" i="8" s="1"/>
  <c r="H67" i="19"/>
  <c r="J66" i="19"/>
  <c r="K66" i="19" s="1"/>
  <c r="K65" i="19"/>
  <c r="H6" i="12"/>
  <c r="H7" i="12" l="1"/>
  <c r="H8" i="12" s="1"/>
  <c r="J67" i="19"/>
  <c r="H68" i="19"/>
  <c r="V12" i="12"/>
  <c r="C72" i="8" s="1"/>
  <c r="Y11" i="12"/>
  <c r="I71" i="8" s="1"/>
  <c r="E68" i="8" l="1"/>
  <c r="F68" i="8" s="1"/>
  <c r="K67" i="19"/>
  <c r="H69" i="19"/>
  <c r="Y12" i="12"/>
  <c r="I72" i="8" s="1"/>
  <c r="J68" i="19"/>
  <c r="H9" i="12"/>
  <c r="I8" i="12" s="1"/>
  <c r="E69" i="8" l="1"/>
  <c r="F69" i="8" s="1"/>
  <c r="I3" i="12"/>
  <c r="I4" i="12"/>
  <c r="I5" i="12"/>
  <c r="I6" i="12"/>
  <c r="H68" i="8"/>
  <c r="I7" i="12"/>
  <c r="Q7" i="12" s="1"/>
  <c r="K68" i="19"/>
  <c r="J69" i="19"/>
  <c r="H10" i="12"/>
  <c r="G13" i="12"/>
  <c r="G68" i="8" s="1"/>
  <c r="O65" i="19" s="1"/>
  <c r="L68" i="8" l="1"/>
  <c r="M65" i="19" s="1"/>
  <c r="H69" i="8"/>
  <c r="G69" i="8"/>
  <c r="O66" i="19" s="1"/>
  <c r="G65" i="8"/>
  <c r="O62" i="19" s="1"/>
  <c r="G61" i="8"/>
  <c r="O58" i="19" s="1"/>
  <c r="G57" i="8"/>
  <c r="O54" i="19" s="1"/>
  <c r="G53" i="8"/>
  <c r="O50" i="19" s="1"/>
  <c r="G49" i="8"/>
  <c r="O46" i="19" s="1"/>
  <c r="G45" i="8"/>
  <c r="O42" i="19" s="1"/>
  <c r="G41" i="8"/>
  <c r="O38" i="19" s="1"/>
  <c r="G37" i="8"/>
  <c r="O34" i="19" s="1"/>
  <c r="G33" i="8"/>
  <c r="O30" i="19" s="1"/>
  <c r="G29" i="8"/>
  <c r="O26" i="19" s="1"/>
  <c r="G25" i="8"/>
  <c r="O22" i="19" s="1"/>
  <c r="G21" i="8"/>
  <c r="O18" i="19" s="1"/>
  <c r="G17" i="8"/>
  <c r="O14" i="19" s="1"/>
  <c r="G13" i="8"/>
  <c r="O10" i="19" s="1"/>
  <c r="G59" i="8"/>
  <c r="O56" i="19" s="1"/>
  <c r="G51" i="8"/>
  <c r="O48" i="19" s="1"/>
  <c r="G43" i="8"/>
  <c r="O40" i="19" s="1"/>
  <c r="G31" i="8"/>
  <c r="O28" i="19" s="1"/>
  <c r="G23" i="8"/>
  <c r="O20" i="19" s="1"/>
  <c r="G15" i="8"/>
  <c r="O12" i="19" s="1"/>
  <c r="G66" i="8"/>
  <c r="O63" i="19" s="1"/>
  <c r="G46" i="8"/>
  <c r="O43" i="19" s="1"/>
  <c r="G38" i="8"/>
  <c r="O35" i="19" s="1"/>
  <c r="G30" i="8"/>
  <c r="O27" i="19" s="1"/>
  <c r="G26" i="8"/>
  <c r="O23" i="19" s="1"/>
  <c r="G22" i="8"/>
  <c r="O19" i="19" s="1"/>
  <c r="G18" i="8"/>
  <c r="O15" i="19" s="1"/>
  <c r="G64" i="8"/>
  <c r="O61" i="19" s="1"/>
  <c r="G60" i="8"/>
  <c r="O57" i="19" s="1"/>
  <c r="G56" i="8"/>
  <c r="O53" i="19" s="1"/>
  <c r="G52" i="8"/>
  <c r="O49" i="19" s="1"/>
  <c r="G48" i="8"/>
  <c r="O45" i="19" s="1"/>
  <c r="G44" i="8"/>
  <c r="O41" i="19" s="1"/>
  <c r="G40" i="8"/>
  <c r="O37" i="19" s="1"/>
  <c r="G36" i="8"/>
  <c r="O33" i="19" s="1"/>
  <c r="G32" i="8"/>
  <c r="O29" i="19" s="1"/>
  <c r="G28" i="8"/>
  <c r="O25" i="19" s="1"/>
  <c r="G24" i="8"/>
  <c r="O21" i="19" s="1"/>
  <c r="G20" i="8"/>
  <c r="O17" i="19" s="1"/>
  <c r="G16" i="8"/>
  <c r="O13" i="19" s="1"/>
  <c r="G12" i="8"/>
  <c r="G67" i="8"/>
  <c r="O64" i="19" s="1"/>
  <c r="G63" i="8"/>
  <c r="O60" i="19" s="1"/>
  <c r="G55" i="8"/>
  <c r="O52" i="19" s="1"/>
  <c r="G47" i="8"/>
  <c r="O44" i="19" s="1"/>
  <c r="G39" i="8"/>
  <c r="O36" i="19" s="1"/>
  <c r="G35" i="8"/>
  <c r="O32" i="19" s="1"/>
  <c r="G27" i="8"/>
  <c r="O24" i="19" s="1"/>
  <c r="G19" i="8"/>
  <c r="O16" i="19" s="1"/>
  <c r="G62" i="8"/>
  <c r="O59" i="19" s="1"/>
  <c r="G58" i="8"/>
  <c r="O55" i="19" s="1"/>
  <c r="G54" i="8"/>
  <c r="O51" i="19" s="1"/>
  <c r="G50" i="8"/>
  <c r="O47" i="19" s="1"/>
  <c r="G42" i="8"/>
  <c r="O39" i="19" s="1"/>
  <c r="G34" i="8"/>
  <c r="O31" i="19" s="1"/>
  <c r="G14" i="8"/>
  <c r="O11" i="19" s="1"/>
  <c r="E70" i="8"/>
  <c r="F70" i="8" s="1"/>
  <c r="I10" i="12"/>
  <c r="Q10" i="12" s="1"/>
  <c r="K69" i="19"/>
  <c r="H11" i="12"/>
  <c r="L12" i="8" l="1"/>
  <c r="M9" i="19" s="1"/>
  <c r="O9" i="19"/>
  <c r="K42" i="8"/>
  <c r="L42" i="8"/>
  <c r="M39" i="19" s="1"/>
  <c r="K62" i="8"/>
  <c r="L62" i="8"/>
  <c r="M59" i="19" s="1"/>
  <c r="L39" i="8"/>
  <c r="M36" i="19" s="1"/>
  <c r="K39" i="8"/>
  <c r="L67" i="8"/>
  <c r="M64" i="19" s="1"/>
  <c r="K67" i="8"/>
  <c r="L24" i="8"/>
  <c r="M21" i="19" s="1"/>
  <c r="K24" i="8"/>
  <c r="L40" i="8"/>
  <c r="M37" i="19" s="1"/>
  <c r="K40" i="8"/>
  <c r="L56" i="8"/>
  <c r="M53" i="19" s="1"/>
  <c r="K56" i="8"/>
  <c r="L22" i="8"/>
  <c r="M19" i="19" s="1"/>
  <c r="K22" i="8"/>
  <c r="L46" i="8"/>
  <c r="M43" i="19" s="1"/>
  <c r="K46" i="8"/>
  <c r="L31" i="8"/>
  <c r="M28" i="19" s="1"/>
  <c r="K31" i="8"/>
  <c r="L13" i="8"/>
  <c r="M10" i="19" s="1"/>
  <c r="K13" i="8"/>
  <c r="L29" i="8"/>
  <c r="M26" i="19" s="1"/>
  <c r="K29" i="8"/>
  <c r="L45" i="8"/>
  <c r="M42" i="19" s="1"/>
  <c r="K45" i="8"/>
  <c r="L61" i="8"/>
  <c r="M58" i="19" s="1"/>
  <c r="K61" i="8"/>
  <c r="H70" i="8"/>
  <c r="G70" i="8"/>
  <c r="O67" i="19" s="1"/>
  <c r="K50" i="8"/>
  <c r="L50" i="8"/>
  <c r="M47" i="19" s="1"/>
  <c r="L19" i="8"/>
  <c r="M16" i="19" s="1"/>
  <c r="K19" i="8"/>
  <c r="L47" i="8"/>
  <c r="M44" i="19" s="1"/>
  <c r="K47" i="8"/>
  <c r="L28" i="8"/>
  <c r="M25" i="19" s="1"/>
  <c r="K28" i="8"/>
  <c r="L44" i="8"/>
  <c r="M41" i="19" s="1"/>
  <c r="K44" i="8"/>
  <c r="L60" i="8"/>
  <c r="M57" i="19" s="1"/>
  <c r="K60" i="8"/>
  <c r="K26" i="8"/>
  <c r="L26" i="8"/>
  <c r="M23" i="19" s="1"/>
  <c r="L66" i="8"/>
  <c r="M63" i="19" s="1"/>
  <c r="K66" i="8"/>
  <c r="L43" i="8"/>
  <c r="M40" i="19" s="1"/>
  <c r="K43" i="8"/>
  <c r="K17" i="8"/>
  <c r="L17" i="8"/>
  <c r="M14" i="19" s="1"/>
  <c r="K33" i="8"/>
  <c r="L33" i="8"/>
  <c r="M30" i="19" s="1"/>
  <c r="K49" i="8"/>
  <c r="L49" i="8"/>
  <c r="M46" i="19" s="1"/>
  <c r="K65" i="8"/>
  <c r="L65" i="8"/>
  <c r="M62" i="19" s="1"/>
  <c r="K68" i="8"/>
  <c r="I11" i="12"/>
  <c r="E71" i="8"/>
  <c r="F71" i="8" s="1"/>
  <c r="L14" i="8"/>
  <c r="M11" i="19" s="1"/>
  <c r="K14" i="8"/>
  <c r="K54" i="8"/>
  <c r="L54" i="8"/>
  <c r="M51" i="19" s="1"/>
  <c r="L27" i="8"/>
  <c r="M24" i="19" s="1"/>
  <c r="K27" i="8"/>
  <c r="L55" i="8"/>
  <c r="M52" i="19" s="1"/>
  <c r="K55" i="8"/>
  <c r="L16" i="8"/>
  <c r="M13" i="19" s="1"/>
  <c r="K16" i="8"/>
  <c r="L32" i="8"/>
  <c r="M29" i="19" s="1"/>
  <c r="K32" i="8"/>
  <c r="L48" i="8"/>
  <c r="M45" i="19" s="1"/>
  <c r="K48" i="8"/>
  <c r="L64" i="8"/>
  <c r="M61" i="19" s="1"/>
  <c r="K64" i="8"/>
  <c r="K30" i="8"/>
  <c r="L30" i="8"/>
  <c r="M27" i="19" s="1"/>
  <c r="L15" i="8"/>
  <c r="M12" i="19" s="1"/>
  <c r="K15" i="8"/>
  <c r="L51" i="8"/>
  <c r="M48" i="19" s="1"/>
  <c r="K51" i="8"/>
  <c r="L21" i="8"/>
  <c r="M18" i="19" s="1"/>
  <c r="K21" i="8"/>
  <c r="L37" i="8"/>
  <c r="M34" i="19" s="1"/>
  <c r="K37" i="8"/>
  <c r="L53" i="8"/>
  <c r="M50" i="19" s="1"/>
  <c r="K53" i="8"/>
  <c r="K69" i="8"/>
  <c r="L69" i="8"/>
  <c r="M66" i="19" s="1"/>
  <c r="L34" i="8"/>
  <c r="M31" i="19" s="1"/>
  <c r="K34" i="8"/>
  <c r="K58" i="8"/>
  <c r="L58" i="8"/>
  <c r="M55" i="19" s="1"/>
  <c r="L35" i="8"/>
  <c r="M32" i="19" s="1"/>
  <c r="K35" i="8"/>
  <c r="L63" i="8"/>
  <c r="M60" i="19" s="1"/>
  <c r="K63" i="8"/>
  <c r="L20" i="8"/>
  <c r="M17" i="19" s="1"/>
  <c r="K20" i="8"/>
  <c r="L36" i="8"/>
  <c r="M33" i="19" s="1"/>
  <c r="K36" i="8"/>
  <c r="L52" i="8"/>
  <c r="M49" i="19" s="1"/>
  <c r="K52" i="8"/>
  <c r="K18" i="8"/>
  <c r="L18" i="8"/>
  <c r="M15" i="19" s="1"/>
  <c r="K38" i="8"/>
  <c r="L38" i="8"/>
  <c r="M35" i="19" s="1"/>
  <c r="L23" i="8"/>
  <c r="M20" i="19" s="1"/>
  <c r="K23" i="8"/>
  <c r="L59" i="8"/>
  <c r="M56" i="19" s="1"/>
  <c r="K59" i="8"/>
  <c r="L25" i="8"/>
  <c r="M22" i="19" s="1"/>
  <c r="K25" i="8"/>
  <c r="L41" i="8"/>
  <c r="M38" i="19" s="1"/>
  <c r="K41" i="8"/>
  <c r="L57" i="8"/>
  <c r="M54" i="19" s="1"/>
  <c r="K57" i="8"/>
  <c r="H12" i="12"/>
  <c r="H71" i="8" l="1"/>
  <c r="G71" i="8"/>
  <c r="O68" i="19" s="1"/>
  <c r="I12" i="12"/>
  <c r="E72" i="8"/>
  <c r="F72" i="8" s="1"/>
  <c r="K70" i="8"/>
  <c r="L70" i="8"/>
  <c r="M67" i="19" s="1"/>
  <c r="P17" i="19"/>
  <c r="Q20" i="19"/>
  <c r="P20" i="19"/>
  <c r="Q35" i="19"/>
  <c r="P35" i="19"/>
  <c r="Q52" i="19"/>
  <c r="P52" i="19"/>
  <c r="Q51" i="19"/>
  <c r="P51" i="19"/>
  <c r="Q24" i="19"/>
  <c r="P24" i="19"/>
  <c r="Q54" i="19"/>
  <c r="E72" i="19" s="1"/>
  <c r="Q44" i="19"/>
  <c r="P44" i="19"/>
  <c r="Q29" i="19"/>
  <c r="P29" i="19"/>
  <c r="Q26" i="19"/>
  <c r="P26" i="19"/>
  <c r="Q40" i="19"/>
  <c r="P40" i="19"/>
  <c r="Q37" i="19"/>
  <c r="P37" i="19"/>
  <c r="Q21" i="19"/>
  <c r="P21" i="19"/>
  <c r="Q38" i="19"/>
  <c r="P38" i="19"/>
  <c r="Q23" i="19"/>
  <c r="P23" i="19"/>
  <c r="Q57" i="19"/>
  <c r="P57" i="19"/>
  <c r="Q27" i="19"/>
  <c r="P27" i="19"/>
  <c r="Q59" i="19"/>
  <c r="P59" i="19"/>
  <c r="Q32" i="19"/>
  <c r="P32" i="19"/>
  <c r="Q25" i="19"/>
  <c r="P25" i="19"/>
  <c r="Q45" i="19"/>
  <c r="P45" i="19"/>
  <c r="Q48" i="19"/>
  <c r="P48" i="19"/>
  <c r="Q55" i="19"/>
  <c r="P55" i="19"/>
  <c r="Q36" i="19"/>
  <c r="P36" i="19"/>
  <c r="Q30" i="19"/>
  <c r="E89" i="19" s="1"/>
  <c r="Q41" i="19"/>
  <c r="P41" i="19"/>
  <c r="Q39" i="19"/>
  <c r="P39" i="19"/>
  <c r="Q53" i="19"/>
  <c r="P53" i="19"/>
  <c r="Q46" i="19"/>
  <c r="P46" i="19"/>
  <c r="Q47" i="19"/>
  <c r="P47" i="19"/>
  <c r="Q34" i="19"/>
  <c r="P34" i="19"/>
  <c r="Q31" i="19"/>
  <c r="P31" i="19"/>
  <c r="Q19" i="19"/>
  <c r="P19" i="19"/>
  <c r="Q56" i="19"/>
  <c r="P56" i="19"/>
  <c r="Q42" i="19"/>
  <c r="P42" i="19"/>
  <c r="Q28" i="19"/>
  <c r="P28" i="19"/>
  <c r="Q43" i="19"/>
  <c r="E92" i="19" s="1"/>
  <c r="Q58" i="19"/>
  <c r="P58" i="19"/>
  <c r="Q22" i="19"/>
  <c r="E86" i="19" s="1"/>
  <c r="Q49" i="19"/>
  <c r="P49" i="19"/>
  <c r="Q33" i="19"/>
  <c r="P33" i="19"/>
  <c r="Q50" i="19"/>
  <c r="P50" i="19"/>
  <c r="Q18" i="19"/>
  <c r="C83" i="19"/>
  <c r="H72" i="8" l="1"/>
  <c r="G72" i="8"/>
  <c r="O69" i="19" s="1"/>
  <c r="K71" i="8"/>
  <c r="L71" i="8"/>
  <c r="M68" i="19" s="1"/>
  <c r="P16" i="19"/>
  <c r="P30" i="19"/>
  <c r="D89" i="19" s="1"/>
  <c r="C89" i="19"/>
  <c r="E88" i="19"/>
  <c r="E90" i="19" s="1"/>
  <c r="D101" i="19" s="1"/>
  <c r="E94" i="19"/>
  <c r="E91" i="19"/>
  <c r="E93" i="19" s="1"/>
  <c r="D102" i="19" s="1"/>
  <c r="E79" i="19"/>
  <c r="E95" i="19"/>
  <c r="P22" i="19"/>
  <c r="D86" i="19" s="1"/>
  <c r="C86" i="19"/>
  <c r="E78" i="19"/>
  <c r="E83" i="19"/>
  <c r="E85" i="19" s="1"/>
  <c r="E87" i="19" s="1"/>
  <c r="D100" i="19" s="1"/>
  <c r="P43" i="19"/>
  <c r="D92" i="19" s="1"/>
  <c r="C92" i="19"/>
  <c r="C85" i="19"/>
  <c r="C78" i="19"/>
  <c r="P18" i="19"/>
  <c r="C72" i="19"/>
  <c r="P54" i="19"/>
  <c r="D72" i="19" s="1"/>
  <c r="Q12" i="12"/>
  <c r="J12" i="12"/>
  <c r="J5" i="12"/>
  <c r="C5" i="16" s="1"/>
  <c r="J4" i="12"/>
  <c r="C4" i="16" s="1"/>
  <c r="Q5" i="12"/>
  <c r="Q11" i="12"/>
  <c r="J11" i="12"/>
  <c r="C11" i="16" s="1"/>
  <c r="J8" i="12"/>
  <c r="J10" i="12"/>
  <c r="Q6" i="12"/>
  <c r="Q8" i="12"/>
  <c r="Q9" i="12"/>
  <c r="Q4" i="12"/>
  <c r="J6" i="12"/>
  <c r="C6" i="16" s="1"/>
  <c r="J9" i="12"/>
  <c r="C9" i="16" s="1"/>
  <c r="J3" i="12"/>
  <c r="C3" i="16" s="1"/>
  <c r="J7" i="12"/>
  <c r="K72" i="8" l="1"/>
  <c r="L72" i="8"/>
  <c r="M69" i="19" s="1"/>
  <c r="P15" i="19"/>
  <c r="E96" i="19"/>
  <c r="D103" i="19" s="1"/>
  <c r="E80" i="19"/>
  <c r="C94" i="19"/>
  <c r="D94" i="19"/>
  <c r="D88" i="19"/>
  <c r="D90" i="19" s="1"/>
  <c r="C101" i="19" s="1"/>
  <c r="C87" i="19"/>
  <c r="B100" i="19" s="1"/>
  <c r="C88" i="19"/>
  <c r="C90" i="19" s="1"/>
  <c r="B101" i="19" s="1"/>
  <c r="D79" i="19"/>
  <c r="D95" i="19"/>
  <c r="C91" i="19"/>
  <c r="C93" i="19" s="1"/>
  <c r="B102" i="19" s="1"/>
  <c r="D78" i="19"/>
  <c r="D83" i="19"/>
  <c r="C79" i="19"/>
  <c r="C80" i="19" s="1"/>
  <c r="C95" i="19"/>
  <c r="D91" i="19"/>
  <c r="D93" i="19" s="1"/>
  <c r="C102" i="19" s="1"/>
  <c r="C12" i="16"/>
  <c r="I12" i="16" s="1"/>
  <c r="G42" i="13"/>
  <c r="C8" i="16"/>
  <c r="G37" i="13"/>
  <c r="C7" i="16"/>
  <c r="K10" i="12"/>
  <c r="C10" i="16"/>
  <c r="I9" i="16"/>
  <c r="F9" i="16"/>
  <c r="I4" i="16"/>
  <c r="F4" i="16"/>
  <c r="I6" i="16"/>
  <c r="F6" i="16"/>
  <c r="F11" i="16"/>
  <c r="I11" i="16"/>
  <c r="I5" i="16"/>
  <c r="F5" i="16"/>
  <c r="S8" i="12"/>
  <c r="L12" i="12"/>
  <c r="M12" i="12" s="1"/>
  <c r="P14" i="19"/>
  <c r="S12" i="12"/>
  <c r="N6" i="12"/>
  <c r="S5" i="12"/>
  <c r="Q3" i="12"/>
  <c r="R7" i="12" s="1"/>
  <c r="S4" i="12"/>
  <c r="K12" i="12"/>
  <c r="N12" i="12"/>
  <c r="K8" i="12"/>
  <c r="S7" i="12"/>
  <c r="J14" i="12"/>
  <c r="K9" i="12"/>
  <c r="N9" i="12"/>
  <c r="S6" i="12"/>
  <c r="S11" i="12"/>
  <c r="G36" i="13"/>
  <c r="N11" i="12"/>
  <c r="K5" i="12"/>
  <c r="L9" i="12"/>
  <c r="M9" i="12" s="1"/>
  <c r="L10" i="12"/>
  <c r="M10" i="12" s="1"/>
  <c r="G33" i="13"/>
  <c r="K4" i="12"/>
  <c r="L6" i="12"/>
  <c r="M6" i="12" s="1"/>
  <c r="N4" i="12"/>
  <c r="L7" i="12"/>
  <c r="M7" i="12" s="1"/>
  <c r="G35" i="13"/>
  <c r="L5" i="12"/>
  <c r="M5" i="12" s="1"/>
  <c r="G39" i="13"/>
  <c r="G34" i="13"/>
  <c r="N10" i="12"/>
  <c r="N8" i="12"/>
  <c r="K6" i="12"/>
  <c r="N5" i="12"/>
  <c r="K7" i="12"/>
  <c r="K11" i="12"/>
  <c r="S9" i="12"/>
  <c r="G40" i="13"/>
  <c r="S10" i="12"/>
  <c r="L8" i="12"/>
  <c r="M8" i="12" s="1"/>
  <c r="L4" i="12"/>
  <c r="M4" i="12" s="1"/>
  <c r="L11" i="12"/>
  <c r="M11" i="12" s="1"/>
  <c r="G38" i="13"/>
  <c r="G41" i="13"/>
  <c r="N7" i="12"/>
  <c r="J42" i="13" l="1"/>
  <c r="S65" i="15"/>
  <c r="T6" i="12"/>
  <c r="D80" i="19"/>
  <c r="C96" i="19"/>
  <c r="B103" i="19" s="1"/>
  <c r="D85" i="19"/>
  <c r="D87" i="19" s="1"/>
  <c r="C100" i="19" s="1"/>
  <c r="D96" i="19"/>
  <c r="C103" i="19" s="1"/>
  <c r="Q67" i="19"/>
  <c r="P67" i="19"/>
  <c r="Q65" i="19"/>
  <c r="P65" i="19"/>
  <c r="S68" i="15"/>
  <c r="S61" i="15"/>
  <c r="R11" i="12"/>
  <c r="R12" i="12"/>
  <c r="F12" i="16"/>
  <c r="F10" i="16"/>
  <c r="I10" i="16"/>
  <c r="F7" i="16"/>
  <c r="I7" i="16"/>
  <c r="I8" i="16"/>
  <c r="F8" i="16"/>
  <c r="T8" i="12"/>
  <c r="T12" i="12"/>
  <c r="P13" i="19"/>
  <c r="J39" i="13"/>
  <c r="R6" i="12"/>
  <c r="R9" i="12"/>
  <c r="R8" i="12"/>
  <c r="J35" i="13"/>
  <c r="S3" i="12"/>
  <c r="U12" i="12" s="1"/>
  <c r="T5" i="12"/>
  <c r="R5" i="12"/>
  <c r="T7" i="12"/>
  <c r="R10" i="12"/>
  <c r="R4" i="12"/>
  <c r="J36" i="13"/>
  <c r="J41" i="13"/>
  <c r="J34" i="13"/>
  <c r="J37" i="13"/>
  <c r="J38" i="13"/>
  <c r="J40" i="13"/>
  <c r="T11" i="12"/>
  <c r="S63" i="15"/>
  <c r="S64" i="15"/>
  <c r="S62" i="15"/>
  <c r="S67" i="15"/>
  <c r="T10" i="12"/>
  <c r="T9" i="12"/>
  <c r="S66" i="15"/>
  <c r="Q60" i="19" l="1"/>
  <c r="Q69" i="19"/>
  <c r="P69" i="19"/>
  <c r="Q66" i="19"/>
  <c r="E76" i="19" s="1"/>
  <c r="P62" i="19"/>
  <c r="Q62" i="19"/>
  <c r="P64" i="19"/>
  <c r="Q64" i="19"/>
  <c r="P63" i="19"/>
  <c r="Q63" i="19"/>
  <c r="Q68" i="19"/>
  <c r="P68" i="19"/>
  <c r="P61" i="19"/>
  <c r="Q61" i="19"/>
  <c r="U4" i="12"/>
  <c r="P12" i="19"/>
  <c r="U7" i="12"/>
  <c r="U6" i="12"/>
  <c r="U11" i="12"/>
  <c r="U9" i="12"/>
  <c r="H33" i="13"/>
  <c r="K36" i="13" s="1"/>
  <c r="T4" i="12"/>
  <c r="U8" i="12"/>
  <c r="U10" i="12"/>
  <c r="U5" i="12"/>
  <c r="E75" i="19" l="1"/>
  <c r="E77" i="19" s="1"/>
  <c r="D105" i="19" s="1"/>
  <c r="E73" i="19"/>
  <c r="E74" i="19" s="1"/>
  <c r="D104" i="19" s="1"/>
  <c r="C76" i="19"/>
  <c r="P66" i="19"/>
  <c r="D76" i="19" s="1"/>
  <c r="C75" i="19"/>
  <c r="C73" i="19"/>
  <c r="C74" i="19" s="1"/>
  <c r="B104" i="19" s="1"/>
  <c r="P60" i="19"/>
  <c r="K41" i="13"/>
  <c r="P11" i="19"/>
  <c r="K38" i="13"/>
  <c r="K35" i="13"/>
  <c r="K39" i="13"/>
  <c r="K34" i="13"/>
  <c r="K37" i="13"/>
  <c r="K42" i="13"/>
  <c r="K40" i="13"/>
  <c r="D75" i="19" l="1"/>
  <c r="D77" i="19" s="1"/>
  <c r="C105" i="19" s="1"/>
  <c r="D73" i="19"/>
  <c r="D74" i="19" s="1"/>
  <c r="C104" i="19" s="1"/>
  <c r="C81" i="19"/>
  <c r="C77" i="19"/>
  <c r="B105" i="19" s="1"/>
  <c r="P10" i="19"/>
  <c r="D81" i="19" l="1"/>
  <c r="P9" i="19" l="1"/>
  <c r="D82" i="19" s="1"/>
  <c r="D84" i="19" s="1"/>
  <c r="C99" i="19" s="1"/>
  <c r="C82" i="19"/>
  <c r="C84" i="19" s="1"/>
  <c r="B99" i="19" s="1"/>
</calcChain>
</file>

<file path=xl/sharedStrings.xml><?xml version="1.0" encoding="utf-8"?>
<sst xmlns="http://schemas.openxmlformats.org/spreadsheetml/2006/main" count="410" uniqueCount="245">
  <si>
    <t>Year</t>
  </si>
  <si>
    <t>2009-10</t>
  </si>
  <si>
    <t>2010-11</t>
  </si>
  <si>
    <t>2011-12</t>
  </si>
  <si>
    <t>2013-14</t>
  </si>
  <si>
    <t>2012-13</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</si>
  <si>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</si>
  <si>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</si>
  <si>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</si>
  <si>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</si>
  <si>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</si>
  <si>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</si>
  <si>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</si>
  <si>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</si>
  <si>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</si>
  <si>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</si>
  <si>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</si>
  <si>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</si>
  <si>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</si>
  <si>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</si>
  <si>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</si>
  <si>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</si>
  <si>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</si>
  <si>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</si>
  <si>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</si>
  <si>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</si>
  <si>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</si>
  <si>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</si>
  <si>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</si>
  <si>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</si>
  <si>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</si>
  <si>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</si>
  <si>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</si>
  <si>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</si>
  <si>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</si>
  <si>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</si>
  <si>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</si>
  <si>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2006-07</t>
  </si>
  <si>
    <t>2007-08</t>
  </si>
  <si>
    <t>2008-09</t>
  </si>
  <si>
    <t>Unit</t>
  </si>
  <si>
    <t>2005-06</t>
  </si>
  <si>
    <t>2017-18</t>
  </si>
  <si>
    <t>2016-17</t>
  </si>
  <si>
    <t>2015-16</t>
  </si>
  <si>
    <t>2014-15</t>
  </si>
  <si>
    <t>ODA</t>
  </si>
  <si>
    <t>% real cuts cumulative</t>
  </si>
  <si>
    <t>% real cuts annual</t>
  </si>
  <si>
    <t>Total exp ($b)</t>
  </si>
  <si>
    <t>Real exp ($b)</t>
  </si>
  <si>
    <t>% nominal exp growth</t>
  </si>
  <si>
    <t>% real non-aid growth</t>
  </si>
  <si>
    <t>CPI (%)</t>
  </si>
  <si>
    <t>Sources</t>
  </si>
  <si>
    <t>% real exp growth</t>
  </si>
  <si>
    <t>Total Australian ODA</t>
  </si>
  <si>
    <t>Real Change Over Previous Year</t>
  </si>
  <si>
    <t>ODA/GNI Ratio</t>
  </si>
  <si>
    <t>$ million</t>
  </si>
  <si>
    <t>%</t>
  </si>
  <si>
    <t>Series Type</t>
  </si>
  <si>
    <t>Data Type</t>
  </si>
  <si>
    <t>Current Prices</t>
  </si>
  <si>
    <t>Percentage change</t>
  </si>
  <si>
    <t>Ratio</t>
  </si>
  <si>
    <t>1971-72</t>
  </si>
  <si>
    <t>1972-73</t>
  </si>
  <si>
    <t>1973-74</t>
  </si>
  <si>
    <t>GNI ($b)</t>
  </si>
  <si>
    <t>1999-00</t>
  </si>
  <si>
    <t>Constant Prices 2011-12</t>
  </si>
  <si>
    <t>Total Australian ODA Constant Prices</t>
  </si>
  <si>
    <t>Year-to-year change</t>
  </si>
  <si>
    <t>2018-19</t>
  </si>
  <si>
    <t>cumulative real cuts</t>
  </si>
  <si>
    <t>Real year on year change</t>
  </si>
  <si>
    <t>Nominal change (%)</t>
  </si>
  <si>
    <t>Cumulative nominal change (%)</t>
  </si>
  <si>
    <t>Real non-aid ($M)</t>
  </si>
  <si>
    <t>Real non-aid increases ($M)</t>
  </si>
  <si>
    <t>Real GDP growth forecast (%)</t>
  </si>
  <si>
    <t>Nominal GDP growth forecast (%)</t>
  </si>
  <si>
    <t>Nominal year on year change ($M)</t>
  </si>
  <si>
    <t>Cumulative nominal cuts ($M)</t>
  </si>
  <si>
    <t>ODA ($M)</t>
  </si>
  <si>
    <t>ODA/GNI</t>
  </si>
  <si>
    <t>ODA/govt. exp.</t>
  </si>
  <si>
    <t>Series Titles for chart 2</t>
  </si>
  <si>
    <t>Aid data</t>
  </si>
  <si>
    <t>Total Federal Expenditure</t>
  </si>
  <si>
    <t>all figures are in nominal (i.e. non-inflation adjusted) dollars</t>
  </si>
  <si>
    <t>ODA (AU M)</t>
  </si>
  <si>
    <t>Total Federal Expenditure (AU M)</t>
  </si>
  <si>
    <t>ODA/Total Expenditure</t>
  </si>
  <si>
    <t>1995-1996</t>
  </si>
  <si>
    <t>1996-1997</t>
  </si>
  <si>
    <t>1997-1998</t>
  </si>
  <si>
    <t>1998-1999</t>
  </si>
  <si>
    <t>2000-2001</t>
  </si>
  <si>
    <t>2001-2002</t>
  </si>
  <si>
    <t>2002-2003</t>
  </si>
  <si>
    <t>2003-2004</t>
  </si>
  <si>
    <t>2004-2005</t>
  </si>
  <si>
    <t>2005-2006</t>
  </si>
  <si>
    <t>2006-2007</t>
  </si>
  <si>
    <t>2007-2008</t>
  </si>
  <si>
    <t>2008-2009</t>
  </si>
  <si>
    <t>2009-2010</t>
  </si>
  <si>
    <t>2010-2011</t>
  </si>
  <si>
    <t>2011-2012</t>
  </si>
  <si>
    <t>2012-2013</t>
  </si>
  <si>
    <t>2013-2014</t>
  </si>
  <si>
    <t>2014-2015</t>
  </si>
  <si>
    <t>2015-2016</t>
  </si>
  <si>
    <t>2016-2017</t>
  </si>
  <si>
    <t>2017-2018</t>
  </si>
  <si>
    <t>2018-2019</t>
  </si>
  <si>
    <t>2019-20</t>
  </si>
  <si>
    <t>Note: yellow means updated from another sheet</t>
  </si>
  <si>
    <t>ODA from ODA-GNI time series</t>
  </si>
  <si>
    <t>Index</t>
  </si>
  <si>
    <t>Deflator</t>
  </si>
  <si>
    <t>CPI Index 2011-12 base</t>
  </si>
  <si>
    <t>Total federal expenditure prior to 2012-13 from various budget documents</t>
  </si>
  <si>
    <t>2019-2020</t>
  </si>
  <si>
    <t>CPI and GNI</t>
  </si>
  <si>
    <t>1961-62</t>
  </si>
  <si>
    <t>1962-63</t>
  </si>
  <si>
    <t>1963-64</t>
  </si>
  <si>
    <t>1964-65</t>
  </si>
  <si>
    <t>1965-66</t>
  </si>
  <si>
    <t>1966-67</t>
  </si>
  <si>
    <t>1967-68</t>
  </si>
  <si>
    <t>1968-69</t>
  </si>
  <si>
    <t>1969-70</t>
  </si>
  <si>
    <t>1970-71</t>
  </si>
  <si>
    <t>na</t>
  </si>
  <si>
    <t>old inflation necessary for pre 1970 data DON'T DELETE</t>
  </si>
  <si>
    <t>2020-21</t>
  </si>
  <si>
    <t>2020-2021</t>
  </si>
  <si>
    <t>Aid</t>
  </si>
  <si>
    <t>Non-aid</t>
  </si>
  <si>
    <t>Cumulative change (%)</t>
  </si>
  <si>
    <t>2021-2022</t>
  </si>
  <si>
    <t>Aid ($m)</t>
  </si>
  <si>
    <t>Cumulative change ($)</t>
  </si>
  <si>
    <t>Defence/aid</t>
  </si>
  <si>
    <r>
      <t xml:space="preserve">as per </t>
    </r>
    <r>
      <rPr>
        <sz val="11"/>
        <color rgb="FFFF0000"/>
        <rFont val="Calibri"/>
        <family val="2"/>
        <scheme val="minor"/>
      </rPr>
      <t>2018-19</t>
    </r>
    <r>
      <rPr>
        <sz val="11"/>
        <color theme="1"/>
        <rFont val="Calibri"/>
        <family val="2"/>
        <scheme val="minor"/>
      </rPr>
      <t xml:space="preserve"> budget and budget night</t>
    </r>
  </si>
  <si>
    <r>
      <t xml:space="preserve">CPI Index </t>
    </r>
    <r>
      <rPr>
        <sz val="11"/>
        <color rgb="FFFF0000"/>
        <rFont val="Calibri"/>
        <family val="2"/>
        <scheme val="minor"/>
      </rPr>
      <t>2018-19</t>
    </r>
    <r>
      <rPr>
        <sz val="11"/>
        <color theme="1"/>
        <rFont val="Calibri"/>
        <family val="2"/>
        <scheme val="minor"/>
      </rPr>
      <t xml:space="preserve"> base</t>
    </r>
  </si>
  <si>
    <r>
      <t>Real aid (</t>
    </r>
    <r>
      <rPr>
        <sz val="11"/>
        <color rgb="FFFF0000"/>
        <rFont val="Calibri"/>
        <family val="2"/>
        <scheme val="minor"/>
      </rPr>
      <t>2018-19</t>
    </r>
    <r>
      <rPr>
        <sz val="11"/>
        <color theme="1"/>
        <rFont val="Calibri"/>
        <family val="2"/>
        <scheme val="minor"/>
      </rPr>
      <t>) ($M)</t>
    </r>
  </si>
  <si>
    <r>
      <t xml:space="preserve">Inflation factor to convert from 2011-12 prices to </t>
    </r>
    <r>
      <rPr>
        <b/>
        <sz val="11"/>
        <color rgb="FFFF0000"/>
        <rFont val="Calibri"/>
        <family val="2"/>
        <scheme val="minor"/>
      </rPr>
      <t>2018-19</t>
    </r>
    <r>
      <rPr>
        <b/>
        <sz val="11"/>
        <color theme="1"/>
        <rFont val="Calibri"/>
        <family val="2"/>
        <scheme val="minor"/>
      </rPr>
      <t xml:space="preserve"> prices</t>
    </r>
  </si>
  <si>
    <r>
      <t xml:space="preserve">Constant Prices </t>
    </r>
    <r>
      <rPr>
        <sz val="11"/>
        <color rgb="FFFF0000"/>
        <rFont val="Calibri"/>
        <family val="2"/>
        <scheme val="minor"/>
      </rPr>
      <t>2018-19</t>
    </r>
  </si>
  <si>
    <r>
      <t>Constant (</t>
    </r>
    <r>
      <rPr>
        <sz val="11"/>
        <color rgb="FFFF0000"/>
        <rFont val="Calibri"/>
        <family val="2"/>
        <scheme val="minor"/>
      </rPr>
      <t>2018-19</t>
    </r>
    <r>
      <rPr>
        <sz val="11"/>
        <color theme="1"/>
        <rFont val="Calibri"/>
        <family val="2"/>
        <scheme val="minor"/>
      </rPr>
      <t>) Prices</t>
    </r>
  </si>
  <si>
    <t>2021-22</t>
  </si>
  <si>
    <t>2018-19 prices</t>
  </si>
  <si>
    <t>Current prices</t>
  </si>
  <si>
    <t>($b, 2018-19 prices)</t>
  </si>
  <si>
    <t>Last Updated: 05/02/2018</t>
  </si>
  <si>
    <t>Data from database: World Development Indicators</t>
  </si>
  <si>
    <t>..</t>
  </si>
  <si>
    <t>MS.MIL.XPND.CN</t>
  </si>
  <si>
    <t>Military expenditure (current LCU)</t>
  </si>
  <si>
    <t>AUS</t>
  </si>
  <si>
    <t>Australia</t>
  </si>
  <si>
    <t>1973 [YR1973]</t>
  </si>
  <si>
    <t>1972 [YR1972]</t>
  </si>
  <si>
    <t>1971 [YR1971]</t>
  </si>
  <si>
    <t>1970 [YR1970]</t>
  </si>
  <si>
    <t>1969 [YR1969]</t>
  </si>
  <si>
    <t>1968 [YR1968]</t>
  </si>
  <si>
    <t>1967 [YR1967]</t>
  </si>
  <si>
    <t>1966 [YR1966]</t>
  </si>
  <si>
    <t>1965 [YR1965]</t>
  </si>
  <si>
    <t>1964 [YR1964]</t>
  </si>
  <si>
    <t>1963 [YR1963]</t>
  </si>
  <si>
    <t>1961 [YR1961]</t>
  </si>
  <si>
    <t>1960 [YR1960]</t>
  </si>
  <si>
    <t>Series Code</t>
  </si>
  <si>
    <t>Series Name</t>
  </si>
  <si>
    <t>Country Code</t>
  </si>
  <si>
    <t>Country Name</t>
  </si>
  <si>
    <t xml:space="preserve">2013-14 </t>
  </si>
  <si>
    <t>Defence</t>
  </si>
  <si>
    <t>cpi</t>
  </si>
  <si>
    <t>from ODA GNI time series</t>
  </si>
  <si>
    <t>Total expenditure from 2017-18 MYEFO Appendix D, Table D1, 'payments' (updated 7/5/18)</t>
  </si>
  <si>
    <t>2017-18 and 2018-19 from 2018-19 budget</t>
  </si>
  <si>
    <t>Data sources</t>
  </si>
  <si>
    <t>WB</t>
  </si>
  <si>
    <t>Budget</t>
  </si>
  <si>
    <t>$</t>
  </si>
  <si>
    <t>$m</t>
  </si>
  <si>
    <t xml:space="preserve">Using WB defence data </t>
  </si>
  <si>
    <t>Using budget data</t>
  </si>
  <si>
    <t>Budget data from Defence Portfolio Budget Statement, Table 1: Total Defence Resourcing, Line 9 "Funding from government", last updated 8/5/18</t>
  </si>
  <si>
    <t>Aid projections from DFAT</t>
  </si>
  <si>
    <t>From 2017-18 onwards, CPI and growth projections as per budget (GDP growth projections used for GNI)</t>
  </si>
  <si>
    <t>$thousand</t>
  </si>
  <si>
    <t>Difference (2016 minus 2015)</t>
  </si>
  <si>
    <t>Difference (2018 minus 2017)</t>
  </si>
  <si>
    <t>This sheet compares the statistical data released by DFAT in different years for total ODA</t>
  </si>
  <si>
    <t>GNI</t>
  </si>
  <si>
    <t>CPI</t>
  </si>
  <si>
    <t>1970-1 to 2006-7</t>
  </si>
  <si>
    <t>Total expenditure</t>
  </si>
  <si>
    <t>Rudd/Gillard (2006-07 to 201213)</t>
  </si>
  <si>
    <t>Abbott/Turnbull (2012-13 to 2018-19)</t>
  </si>
  <si>
    <t>Expenditure</t>
  </si>
  <si>
    <t>Pre-Whitlam</t>
  </si>
  <si>
    <t>Whiltlam</t>
  </si>
  <si>
    <t>Fraser</t>
  </si>
  <si>
    <t>Howard</t>
  </si>
  <si>
    <t>Hawke/Keating</t>
  </si>
  <si>
    <t>Whitlam (70-1 to 74-5)</t>
  </si>
  <si>
    <t>Fraser (74-5 to 82-3)</t>
  </si>
  <si>
    <t>Hawke/Keating (82-3 to 95-6)</t>
  </si>
  <si>
    <t>Howard (95-6 to 06-7)</t>
  </si>
  <si>
    <t>1961-2 to 1970-1</t>
  </si>
  <si>
    <t>$ billion</t>
  </si>
  <si>
    <t>Green book 2018 (published in 2018 with title "Australia's intenrational Development Assistance: Official Sector Statistical Summary 2016-17")</t>
  </si>
  <si>
    <t>Ref</t>
  </si>
  <si>
    <t>http://dfat.gov.au/about-us/publications/aid/statistical-summary-time-series-data/Pages/australias-international-development-assistance-official-sector-statistical-summary.aspx</t>
  </si>
  <si>
    <t>http://dfat.gov.au/about-us/publications/Documents/statistical-summary-2015-16.pdf</t>
  </si>
  <si>
    <t>Green book 2017 (published in 2017 with title "Australia's intenrational Development Assistance: Official Sector Statistical Summary 2015-16")</t>
  </si>
  <si>
    <t>Green book 2016 (published in 2016 with title "Australia's intenrational Development Assistance: Official Sector Statistical Summary 2014-15")</t>
  </si>
  <si>
    <t>http://dfat.gov.au/about-us/publications/Documents/statistical-summary-2014-15.pdf</t>
  </si>
  <si>
    <t>Notes</t>
  </si>
  <si>
    <t>ODA (Official Development Assistance)</t>
  </si>
  <si>
    <t xml:space="preserve">ODA (Official Development Assistance or foreign aid) is calculated by the Australian government. It follows the OECD DAC agreed definition of aid, but this definition (a) changes over time and (b) allows for some discretion. In 1983-84, for the first time, the Australian government contribution towards the education in Australia of developing country students was included in ODA. This change in definition increased ODA in that year by $98.6 million, about 10%. </t>
  </si>
  <si>
    <t>Note that in a response to a Senate Estimate question (Question No 110), the forward estimates for aid as a share of GNI were as follows: 2017-18 0.22%, 2018-19 0.22%, 2019-20 0.21%; these figures are slightly different to our own calculations</t>
  </si>
  <si>
    <t>deflator for 2018 prices</t>
  </si>
  <si>
    <t>2018 prices</t>
  </si>
  <si>
    <t>Aid (lhs)</t>
  </si>
  <si>
    <t>Defence (rhs)</t>
  </si>
  <si>
    <t>Aid/GNI (lhs)</t>
  </si>
  <si>
    <t>Defence/GNI (rhs)</t>
  </si>
  <si>
    <r>
      <t>ODA current (</t>
    </r>
    <r>
      <rPr>
        <sz val="11"/>
        <color rgb="FFFF0000"/>
        <rFont val="Calibri"/>
        <family val="2"/>
        <scheme val="minor"/>
      </rPr>
      <t>2018-19</t>
    </r>
    <r>
      <rPr>
        <sz val="11"/>
        <color theme="1"/>
        <rFont val="Calibri"/>
        <family val="2"/>
        <scheme val="minor"/>
      </rPr>
      <t>)/ODA constant</t>
    </r>
  </si>
  <si>
    <t>CPI deflator (2011-12=100)</t>
  </si>
  <si>
    <t>ODA (historical)</t>
  </si>
  <si>
    <t>From Green Book (2018 version) except for 74-75 to 83-84 (taken from 87-88 Australia's Overseas Aid Program, Budget Related Paper No. 4) and pre 71-72 from Robin Davies  http://devpolicy.org/measuring-australias-foreign-aid-generosity-menzies-turnbull-20170203/. Note 74-75 to 83-84 not from Geen Book because latter contradicts the Budget Data sometimes by a lot for no apparent reason. For current and future ODA see "2018-19 budget".</t>
  </si>
  <si>
    <t>GNI (historical)</t>
  </si>
  <si>
    <t>CPI (historical)</t>
  </si>
  <si>
    <t>Source: ABS, calculations in Two budget spreadsheets folder '13Jun18 ABS GNI data'. For current and future GNI see "2018-19 budget".</t>
  </si>
  <si>
    <t>Source: ABS, calculations in Two budget spreadsheets folder - '13Jun18 ABS CPI data'. For years pre 1971 inflation data to take the index deflator backwards taken from RBS. More info on them at devpolicy's dropbox on \Research\Datasets\Australian aid statistics\The two budget spreadsheets (latest versions)\workings file name RBA ABS inflation time series.xls. For current and future CPI see "2018-19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</si>
</sst>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43" formatCode="_-* #,##0.00_-;\-* #,##0.00_-;_-* &quot;-&quot;??_-;_-@_-"/>
    <numFmt numFmtId="164" formatCode="0.0%"/>
    <numFmt numFmtId="165" formatCode="0.0"/>
    <numFmt numFmtId="166" formatCode="0.000"/>
    <numFmt numFmtId="167" formatCode="#,##0.000000"/>
    <numFmt numFmtId="168" formatCode="0.0_ ;\-0.0\ "/>
    <numFmt numFmtId="169" formatCode="mmm\-yyyy"/>
    <numFmt numFmtId="170" formatCode="_-* #,##0_-;\-* #,##0_-;_-* &quot;-&quot;??_-;_-@_-"/>
    <numFmt numFmtId="171" formatCode="_(* #,##0_);_(* \(#,##0\);_(* &quot;-&quot;_);_(@_)"/>
    <numFmt numFmtId="172" formatCode="0.0;\-0.0;0.0;@"/>
  </numFmts>
  <fonts count="11"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0"/>
      <name val="Arial"/>
      <family val="2"/>
    </font>
    <font>
      <i/>
      <sz val="11"/>
      <color theme="1"/>
      <name val="Calibri"/>
      <family val="2"/>
      <scheme val="minor"/>
    </font>
    <font>
      <sz val="9"/>
      <name val="Arial"/>
      <family val="2"/>
    </font>
    <font>
      <sz val="11"/>
      <color rgb="FFFF0000"/>
      <name val="Calibri"/>
      <family val="2"/>
      <scheme val="minor"/>
    </font>
    <font>
      <b/>
      <sz val="11"/>
      <color rgb="FFFF0000"/>
      <name val="Calibri"/>
      <family val="2"/>
      <scheme val="minor"/>
    </font>
    <font>
      <sz val="11"/>
      <name val="Calibri"/>
      <family val="2"/>
      <scheme val="minor"/>
    </font>
    <font>
      <u/>
      <sz val="10"/>
      <color indexed="12"/>
      <name val="Arial"/>
      <family val="2"/>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7">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43" fontId="2" fillId="0" borderId="0" applyFont="0" applyFill="0" applyBorder="0" applyAlignment="0" applyProtection="0"/>
  </cellStyleXfs>
  <cellXfs count="95">
    <xf numFmtId="0" fontId="0" fillId="0" borderId="0" xfId="0"/>
    <xf numFmtId="2" fontId="0" fillId="0" borderId="0" xfId="0" applyNumberFormat="1"/>
    <xf numFmtId="10" fontId="0" fillId="0" borderId="0" xfId="1" applyNumberFormat="1" applyFont="1"/>
    <xf numFmtId="164" fontId="0" fillId="0" borderId="0" xfId="1" applyNumberFormat="1" applyFont="1"/>
    <xf numFmtId="165" fontId="0" fillId="0" borderId="0" xfId="0" applyNumberFormat="1"/>
    <xf numFmtId="1" fontId="0" fillId="0" borderId="0" xfId="0" applyNumberFormat="1"/>
    <xf numFmtId="164" fontId="0" fillId="0" borderId="0" xfId="0" applyNumberFormat="1"/>
    <xf numFmtId="0" fontId="1" fillId="0" borderId="0" xfId="0" applyFont="1"/>
    <xf numFmtId="166" fontId="0" fillId="0" borderId="0" xfId="0" applyNumberFormat="1"/>
    <xf numFmtId="0" fontId="0" fillId="0" borderId="0" xfId="0" applyFill="1"/>
    <xf numFmtId="164" fontId="0" fillId="0" borderId="0" xfId="1" applyNumberFormat="1" applyFont="1" applyFill="1"/>
    <xf numFmtId="0" fontId="0" fillId="0" borderId="0" xfId="0" applyAlignment="1">
      <alignment wrapText="1"/>
    </xf>
    <xf numFmtId="3" fontId="0" fillId="0" borderId="0" xfId="0" applyNumberFormat="1"/>
    <xf numFmtId="4" fontId="0" fillId="0" borderId="0" xfId="0" applyNumberFormat="1"/>
    <xf numFmtId="167" fontId="0" fillId="0" borderId="0" xfId="0" applyNumberFormat="1"/>
    <xf numFmtId="4" fontId="0" fillId="0" borderId="0" xfId="0" applyNumberFormat="1" applyFill="1"/>
    <xf numFmtId="0" fontId="5" fillId="0" borderId="0" xfId="0" applyFont="1"/>
    <xf numFmtId="0" fontId="1" fillId="0" borderId="0" xfId="0" applyFont="1" applyAlignment="1">
      <alignment wrapText="1"/>
    </xf>
    <xf numFmtId="3" fontId="0" fillId="2" borderId="0" xfId="0" applyNumberFormat="1" applyFill="1"/>
    <xf numFmtId="0" fontId="0" fillId="0" borderId="0" xfId="0" applyFont="1"/>
    <xf numFmtId="0" fontId="0" fillId="4" borderId="0" xfId="0" applyFont="1" applyFill="1"/>
    <xf numFmtId="169" fontId="6" fillId="0" borderId="0" xfId="0" applyNumberFormat="1" applyFont="1" applyAlignment="1">
      <alignment horizontal="right"/>
    </xf>
    <xf numFmtId="169" fontId="6" fillId="0" borderId="0" xfId="0" applyNumberFormat="1" applyFont="1" applyBorder="1" applyAlignment="1">
      <alignment horizontal="right"/>
    </xf>
    <xf numFmtId="168" fontId="6" fillId="4" borderId="0" xfId="0" applyNumberFormat="1" applyFont="1" applyFill="1" applyAlignment="1">
      <alignment horizontal="left"/>
    </xf>
    <xf numFmtId="168" fontId="6" fillId="4" borderId="0" xfId="0" applyNumberFormat="1" applyFont="1" applyFill="1" applyBorder="1" applyAlignment="1">
      <alignment horizontal="left"/>
    </xf>
    <xf numFmtId="3" fontId="0" fillId="0" borderId="0" xfId="0" applyNumberFormat="1" applyFill="1"/>
    <xf numFmtId="0" fontId="0" fillId="0" borderId="0" xfId="0" applyAlignment="1">
      <alignment horizontal="center"/>
    </xf>
    <xf numFmtId="0" fontId="0" fillId="0" borderId="2" xfId="0" applyBorder="1"/>
    <xf numFmtId="3" fontId="0" fillId="0" borderId="2" xfId="0" applyNumberFormat="1" applyBorder="1"/>
    <xf numFmtId="164" fontId="0" fillId="0" borderId="2" xfId="1" applyNumberFormat="1" applyFont="1" applyBorder="1"/>
    <xf numFmtId="164" fontId="0" fillId="0" borderId="0" xfId="0" applyNumberFormat="1" applyAlignment="1">
      <alignment horizontal="center"/>
    </xf>
    <xf numFmtId="3" fontId="0" fillId="0" borderId="0" xfId="0" applyNumberFormat="1" applyAlignment="1">
      <alignment horizontal="center"/>
    </xf>
    <xf numFmtId="2" fontId="0" fillId="0" borderId="2" xfId="0" applyNumberFormat="1" applyBorder="1"/>
    <xf numFmtId="166" fontId="0" fillId="0" borderId="0" xfId="0" applyNumberFormat="1" applyFill="1"/>
    <xf numFmtId="1" fontId="0" fillId="0" borderId="0" xfId="0" applyNumberFormat="1" applyFill="1"/>
    <xf numFmtId="165" fontId="0" fillId="0" borderId="0" xfId="0" applyNumberFormat="1" applyFill="1"/>
    <xf numFmtId="43" fontId="0" fillId="0" borderId="0" xfId="4" applyFont="1" applyFill="1"/>
    <xf numFmtId="10" fontId="0" fillId="0" borderId="0" xfId="0" applyNumberFormat="1" applyFill="1"/>
    <xf numFmtId="10" fontId="0" fillId="0" borderId="0" xfId="1" applyNumberFormat="1" applyFont="1" applyFill="1"/>
    <xf numFmtId="164" fontId="0" fillId="0" borderId="0" xfId="0" applyNumberFormat="1" applyFill="1"/>
    <xf numFmtId="165" fontId="0" fillId="0" borderId="0" xfId="0" applyNumberFormat="1" applyFill="1" applyAlignment="1">
      <alignment horizontal="right"/>
    </xf>
    <xf numFmtId="43" fontId="0" fillId="0" borderId="0" xfId="4" applyNumberFormat="1" applyFont="1" applyFill="1"/>
    <xf numFmtId="166" fontId="0" fillId="3" borderId="1" xfId="0" applyNumberFormat="1" applyFill="1" applyBorder="1"/>
    <xf numFmtId="0" fontId="0" fillId="0" borderId="0" xfId="0" applyBorder="1"/>
    <xf numFmtId="3" fontId="0" fillId="0" borderId="0" xfId="0" applyNumberFormat="1" applyBorder="1"/>
    <xf numFmtId="164" fontId="0" fillId="0" borderId="0" xfId="1" applyNumberFormat="1" applyFont="1" applyBorder="1"/>
    <xf numFmtId="0" fontId="0" fillId="0" borderId="2" xfId="0" applyBorder="1" applyAlignment="1">
      <alignment horizontal="center" wrapText="1"/>
    </xf>
    <xf numFmtId="0" fontId="0" fillId="0" borderId="3" xfId="0" applyFont="1" applyFill="1" applyBorder="1" applyAlignment="1">
      <alignment horizontal="right" vertical="top"/>
    </xf>
    <xf numFmtId="0" fontId="9" fillId="0" borderId="4" xfId="0" applyFont="1" applyBorder="1" applyAlignment="1">
      <alignment horizontal="right" vertical="top"/>
    </xf>
    <xf numFmtId="1" fontId="9" fillId="0" borderId="4" xfId="0" applyNumberFormat="1" applyFont="1" applyBorder="1" applyAlignment="1">
      <alignment horizontal="right" vertical="top"/>
    </xf>
    <xf numFmtId="0" fontId="0" fillId="0" borderId="4" xfId="0" applyFont="1" applyBorder="1" applyAlignment="1">
      <alignment horizontal="right" vertical="top"/>
    </xf>
    <xf numFmtId="170" fontId="2" fillId="0" borderId="4" xfId="4" applyNumberFormat="1" applyFont="1" applyBorder="1" applyAlignment="1">
      <alignment horizontal="center" vertical="top" wrapText="1"/>
    </xf>
    <xf numFmtId="0" fontId="0" fillId="0" borderId="0" xfId="0" applyFont="1" applyFill="1" applyBorder="1" applyAlignment="1">
      <alignment horizontal="right" vertical="top"/>
    </xf>
    <xf numFmtId="170" fontId="0" fillId="0" borderId="0" xfId="4" applyNumberFormat="1" applyFont="1" applyAlignment="1">
      <alignment wrapText="1"/>
    </xf>
    <xf numFmtId="0" fontId="0" fillId="0" borderId="0" xfId="0" applyAlignment="1">
      <alignment horizontal="center" wrapText="1"/>
    </xf>
    <xf numFmtId="0" fontId="0" fillId="0" borderId="0" xfId="0" applyAlignment="1">
      <alignment horizontal="center"/>
    </xf>
    <xf numFmtId="43" fontId="0" fillId="0" borderId="0" xfId="0" applyNumberFormat="1"/>
    <xf numFmtId="0" fontId="0" fillId="0" borderId="0" xfId="0" applyFont="1" applyBorder="1"/>
    <xf numFmtId="171" fontId="0" fillId="0" borderId="0" xfId="0" applyNumberFormat="1" applyFont="1" applyBorder="1"/>
    <xf numFmtId="171" fontId="0" fillId="0" borderId="0" xfId="0" applyNumberFormat="1" applyFont="1" applyFill="1" applyBorder="1"/>
    <xf numFmtId="9" fontId="0" fillId="0" borderId="0" xfId="1" applyFont="1"/>
    <xf numFmtId="171" fontId="0" fillId="0" borderId="0" xfId="0" applyNumberFormat="1"/>
    <xf numFmtId="0" fontId="0" fillId="0" borderId="0" xfId="0" applyFill="1" applyAlignment="1">
      <alignment wrapText="1"/>
    </xf>
    <xf numFmtId="41" fontId="0" fillId="0" borderId="0" xfId="0" applyNumberFormat="1" applyFont="1" applyFill="1" applyBorder="1"/>
    <xf numFmtId="41" fontId="0" fillId="0" borderId="0" xfId="0" applyNumberFormat="1" applyFont="1"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wrapText="1"/>
    </xf>
    <xf numFmtId="0" fontId="0" fillId="0" borderId="0" xfId="0" applyAlignment="1"/>
    <xf numFmtId="0" fontId="0" fillId="0" borderId="0" xfId="0" applyFont="1" applyBorder="1" applyAlignment="1"/>
    <xf numFmtId="2" fontId="0" fillId="0" borderId="0" xfId="0" applyNumberFormat="1" applyFont="1"/>
    <xf numFmtId="4" fontId="0" fillId="0" borderId="0" xfId="0" applyNumberFormat="1" applyFont="1" applyFill="1"/>
    <xf numFmtId="165" fontId="0" fillId="0" borderId="0" xfId="0" applyNumberFormat="1" applyFont="1"/>
    <xf numFmtId="172" fontId="0" fillId="0" borderId="0" xfId="0" applyNumberFormat="1" applyFont="1" applyAlignment="1"/>
    <xf numFmtId="2" fontId="0" fillId="0" borderId="0" xfId="0" applyNumberFormat="1" applyFill="1"/>
    <xf numFmtId="172" fontId="0" fillId="0" borderId="0" xfId="0" applyNumberFormat="1" applyFont="1" applyFill="1" applyAlignment="1"/>
    <xf numFmtId="0" fontId="1" fillId="0" borderId="2" xfId="0" applyFont="1" applyFill="1" applyBorder="1" applyAlignment="1">
      <alignment horizontal="center" wrapText="1"/>
    </xf>
    <xf numFmtId="0" fontId="0" fillId="0" borderId="0" xfId="0" applyFont="1" applyFill="1" applyBorder="1" applyAlignment="1">
      <alignment horizontal="center" vertical="top" wrapText="1"/>
    </xf>
    <xf numFmtId="0" fontId="0" fillId="0" borderId="0" xfId="0" applyFont="1" applyFill="1" applyAlignment="1">
      <alignment wrapText="1"/>
    </xf>
    <xf numFmtId="0" fontId="0" fillId="0" borderId="0" xfId="0" applyAlignment="1">
      <alignment horizontal="center" wrapText="1"/>
    </xf>
    <xf numFmtId="0" fontId="0" fillId="0" borderId="0" xfId="0" applyAlignment="1">
      <alignment horizontal="center"/>
    </xf>
    <xf numFmtId="0" fontId="0" fillId="0" borderId="2" xfId="0" applyBorder="1" applyAlignment="1">
      <alignment horizontal="center"/>
    </xf>
    <xf numFmtId="0" fontId="0" fillId="0" borderId="2" xfId="0" applyFill="1" applyBorder="1"/>
    <xf numFmtId="4" fontId="0" fillId="0" borderId="2" xfId="0" applyNumberFormat="1" applyBorder="1"/>
    <xf numFmtId="0" fontId="0" fillId="0" borderId="0" xfId="0" applyFont="1" applyAlignment="1">
      <alignment horizontal="center" wrapText="1"/>
    </xf>
    <xf numFmtId="0" fontId="0" fillId="0" borderId="0" xfId="0" applyFont="1" applyAlignment="1">
      <alignment horizontal="center"/>
    </xf>
    <xf numFmtId="0" fontId="0" fillId="0" borderId="0" xfId="0" applyAlignment="1">
      <alignment horizontal="right"/>
    </xf>
    <xf numFmtId="0" fontId="1" fillId="0" borderId="0" xfId="0" applyFont="1" applyFill="1"/>
    <xf numFmtId="0" fontId="0" fillId="0" borderId="0" xfId="0" applyAlignment="1">
      <alignment horizontal="center" wrapText="1"/>
    </xf>
    <xf numFmtId="0" fontId="0" fillId="0" borderId="0" xfId="0" applyAlignment="1">
      <alignment horizontal="center"/>
    </xf>
    <xf numFmtId="0" fontId="1" fillId="0" borderId="2" xfId="0" applyFont="1" applyBorder="1" applyAlignment="1">
      <alignment horizontal="center" wrapText="1"/>
    </xf>
    <xf numFmtId="0" fontId="3" fillId="0" borderId="4" xfId="2" applyBorder="1" applyAlignment="1">
      <alignment horizontal="center" vertical="top" wrapText="1"/>
    </xf>
    <xf numFmtId="164" fontId="0" fillId="0" borderId="2" xfId="0" applyNumberFormat="1" applyBorder="1" applyAlignment="1">
      <alignment horizontal="center"/>
    </xf>
    <xf numFmtId="0" fontId="0" fillId="0" borderId="2" xfId="0" applyBorder="1" applyAlignment="1">
      <alignment horizontal="center"/>
    </xf>
    <xf numFmtId="0" fontId="0" fillId="0" borderId="2" xfId="0" applyBorder="1" applyAlignment="1">
      <alignment horizontal="center" wrapText="1"/>
    </xf>
  </cellXfs>
  <cellStyles count="7">
    <cellStyle name="Comma" xfId="4" builtinId="3"/>
    <cellStyle name="Comma 2" xfId="6"/>
    <cellStyle name="Hyperlink" xfId="2" builtinId="8"/>
    <cellStyle name="Hyperlink 2" xfId="5"/>
    <cellStyle name="Normal" xfId="0" builtinId="0"/>
    <cellStyle name="Normal 2" xfId="3"/>
    <cellStyle name="Percent" xfId="1" builtinId="5"/>
  </cellStyles>
  <dxfs count="0"/>
  <tableStyles count="0" defaultTableStyle="TableStyleMedium2" defaultPivotStyle="PivotStyleLight16"/>
  <colors>
    <mruColors>
      <color rgb="FFCCECFF"/>
      <color rgb="FFFFCC99"/>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ODA/total expenditure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'ODA-exp time series'!$D$3</c:f>
              <c:strCache>
                <c:ptCount val="1"/>
                <c:pt idx="0">
                  <c:v>ODA/Total Expenditure</c:v>
                </c:pt>
              </c:strCache>
            </c:strRef>
          </c:tx>
          <c:spPr>
            <a:ln w="28575" cap="rnd">
              <a:solidFill>
                <a:schemeClr val="accent3"/>
              </a:solidFill>
              <a:round/>
            </a:ln>
            <a:effectLst/>
          </c:spPr>
          <c:marker>
            <c:symbol val="none"/>
          </c:marker>
          <c:cat>
            <c:strRef>
              <c:f>'ODA-exp time series'!$A$4:$A$55</c:f>
              <c:strCache>
                <c:ptCount val="52"/>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1995-1996</c:v>
                </c:pt>
                <c:pt idx="26">
                  <c:v>1996-1997</c:v>
                </c:pt>
                <c:pt idx="27">
                  <c:v>1997-1998</c:v>
                </c:pt>
                <c:pt idx="28">
                  <c:v>1998-1999</c:v>
                </c:pt>
                <c:pt idx="29">
                  <c:v>1999-2000</c:v>
                </c:pt>
                <c:pt idx="30">
                  <c:v>2000-2001</c:v>
                </c:pt>
                <c:pt idx="31">
                  <c:v>2001-2002</c:v>
                </c:pt>
                <c:pt idx="32">
                  <c:v>2002-2003</c:v>
                </c:pt>
                <c:pt idx="33">
                  <c:v>2003-2004</c:v>
                </c:pt>
                <c:pt idx="34">
                  <c:v>2004-2005</c:v>
                </c:pt>
                <c:pt idx="35">
                  <c:v>2005-2006</c:v>
                </c:pt>
                <c:pt idx="36">
                  <c:v>2006-2007</c:v>
                </c:pt>
                <c:pt idx="37">
                  <c:v>2007-2008</c:v>
                </c:pt>
                <c:pt idx="38">
                  <c:v>2008-2009</c:v>
                </c:pt>
                <c:pt idx="39">
                  <c:v>2009-2010</c:v>
                </c:pt>
                <c:pt idx="40">
                  <c:v>2010-2011</c:v>
                </c:pt>
                <c:pt idx="41">
                  <c:v>2011-2012</c:v>
                </c:pt>
                <c:pt idx="42">
                  <c:v>2012-2013</c:v>
                </c:pt>
                <c:pt idx="43">
                  <c:v>2013-2014</c:v>
                </c:pt>
                <c:pt idx="44">
                  <c:v>2014-2015</c:v>
                </c:pt>
                <c:pt idx="45">
                  <c:v>2015-2016</c:v>
                </c:pt>
                <c:pt idx="46">
                  <c:v>2016-2017</c:v>
                </c:pt>
                <c:pt idx="47">
                  <c:v>2017-2018</c:v>
                </c:pt>
                <c:pt idx="48">
                  <c:v>2018-2019</c:v>
                </c:pt>
                <c:pt idx="49">
                  <c:v>2019-2020</c:v>
                </c:pt>
                <c:pt idx="50">
                  <c:v>2020-2021</c:v>
                </c:pt>
                <c:pt idx="51">
                  <c:v>2021-2022</c:v>
                </c:pt>
              </c:strCache>
            </c:strRef>
          </c:cat>
          <c:val>
            <c:numRef>
              <c:f>'ODA-exp time series'!$D$4:$D$55</c:f>
              <c:numCache>
                <c:formatCode>0.00%</c:formatCode>
                <c:ptCount val="52"/>
                <c:pt idx="0">
                  <c:v>2.3913926106374338E-2</c:v>
                </c:pt>
                <c:pt idx="1">
                  <c:v>2.4305976481997817E-2</c:v>
                </c:pt>
                <c:pt idx="2">
                  <c:v>2.3348956114188326E-2</c:v>
                </c:pt>
                <c:pt idx="3">
                  <c:v>2.3912258530420651E-2</c:v>
                </c:pt>
                <c:pt idx="4">
                  <c:v>2.1638750565866911E-2</c:v>
                </c:pt>
                <c:pt idx="5">
                  <c:v>1.7601977750309025E-2</c:v>
                </c:pt>
                <c:pt idx="6">
                  <c:v>1.6677462538325343E-2</c:v>
                </c:pt>
                <c:pt idx="7">
                  <c:v>1.6352611582300343E-2</c:v>
                </c:pt>
                <c:pt idx="8">
                  <c:v>1.6567628749292587E-2</c:v>
                </c:pt>
                <c:pt idx="9">
                  <c:v>1.6076733455533784E-2</c:v>
                </c:pt>
                <c:pt idx="10">
                  <c:v>1.5701017249004866E-2</c:v>
                </c:pt>
                <c:pt idx="11">
                  <c:v>1.5989890889650311E-2</c:v>
                </c:pt>
                <c:pt idx="12">
                  <c:v>1.5255070682237247E-2</c:v>
                </c:pt>
                <c:pt idx="13">
                  <c:v>1.6350236883663799E-2</c:v>
                </c:pt>
                <c:pt idx="14">
                  <c:v>1.5595315559804481E-2</c:v>
                </c:pt>
                <c:pt idx="15">
                  <c:v>1.4453847016599372E-2</c:v>
                </c:pt>
                <c:pt idx="16">
                  <c:v>1.2644392026750304E-2</c:v>
                </c:pt>
                <c:pt idx="17">
                  <c:v>1.2427759967820183E-2</c:v>
                </c:pt>
                <c:pt idx="18">
                  <c:v>1.400076178421583E-2</c:v>
                </c:pt>
                <c:pt idx="19">
                  <c:v>1.2664559147209873E-2</c:v>
                </c:pt>
                <c:pt idx="20">
                  <c:v>1.2527094819450652E-2</c:v>
                </c:pt>
                <c:pt idx="21">
                  <c:v>1.2263653293015708E-2</c:v>
                </c:pt>
                <c:pt idx="22">
                  <c:v>1.1975231315496195E-2</c:v>
                </c:pt>
                <c:pt idx="23">
                  <c:v>1.156320435377718E-2</c:v>
                </c:pt>
                <c:pt idx="24">
                  <c:v>1.1636041655239423E-2</c:v>
                </c:pt>
                <c:pt idx="25">
                  <c:v>1.1562587613805722E-2</c:v>
                </c:pt>
                <c:pt idx="26">
                  <c:v>1.0253856781851112E-2</c:v>
                </c:pt>
                <c:pt idx="27">
                  <c:v>1.0266240833078449E-2</c:v>
                </c:pt>
                <c:pt idx="28">
                  <c:v>1.0334401889657499E-2</c:v>
                </c:pt>
                <c:pt idx="29">
                  <c:v>1.1438867564885895E-2</c:v>
                </c:pt>
                <c:pt idx="30">
                  <c:v>9.2528638290905185E-3</c:v>
                </c:pt>
                <c:pt idx="31">
                  <c:v>9.3600222628607774E-3</c:v>
                </c:pt>
                <c:pt idx="32">
                  <c:v>9.2850542011571648E-3</c:v>
                </c:pt>
                <c:pt idx="33">
                  <c:v>9.4689658459851753E-3</c:v>
                </c:pt>
                <c:pt idx="34">
                  <c:v>9.9415845724280267E-3</c:v>
                </c:pt>
                <c:pt idx="35">
                  <c:v>1.090646833240164E-2</c:v>
                </c:pt>
                <c:pt idx="36">
                  <c:v>1.1367279907712349E-2</c:v>
                </c:pt>
                <c:pt idx="37">
                  <c:v>1.1209093146782884E-2</c:v>
                </c:pt>
                <c:pt idx="38">
                  <c:v>1.1736220883788753E-2</c:v>
                </c:pt>
                <c:pt idx="39">
                  <c:v>1.1318564611503415E-2</c:v>
                </c:pt>
                <c:pt idx="40">
                  <c:v>1.2307465444944264E-2</c:v>
                </c:pt>
                <c:pt idx="41">
                  <c:v>1.2842556846004386E-2</c:v>
                </c:pt>
                <c:pt idx="42">
                  <c:v>1.3225500591809186E-2</c:v>
                </c:pt>
                <c:pt idx="43">
                  <c:v>1.2429036539641017E-2</c:v>
                </c:pt>
                <c:pt idx="44">
                  <c:v>1.2264715847128346E-2</c:v>
                </c:pt>
                <c:pt idx="45">
                  <c:v>9.9438473240607752E-3</c:v>
                </c:pt>
                <c:pt idx="46">
                  <c:v>9.1801536273115221E-3</c:v>
                </c:pt>
                <c:pt idx="47">
                  <c:v>8.8649706457925633E-3</c:v>
                </c:pt>
                <c:pt idx="48">
                  <c:v>8.5864630623194386E-3</c:v>
                </c:pt>
                <c:pt idx="49">
                  <c:v>8.3819095477386928E-3</c:v>
                </c:pt>
                <c:pt idx="50">
                  <c:v>7.7745383867832843E-3</c:v>
                </c:pt>
                <c:pt idx="51">
                  <c:v>7.4446305602084498E-3</c:v>
                </c:pt>
              </c:numCache>
            </c:numRef>
          </c:val>
          <c:smooth val="0"/>
          <c:extLst>
            <c:ext xmlns:c16="http://schemas.microsoft.com/office/drawing/2014/chart" uri="{C3380CC4-5D6E-409C-BE32-E72D297353CC}">
              <c16:uniqueId val="{00000002-AA8D-4265-8990-B2896CA3318A}"/>
            </c:ext>
          </c:extLst>
        </c:ser>
        <c:dLbls>
          <c:showLegendKey val="0"/>
          <c:showVal val="0"/>
          <c:showCatName val="0"/>
          <c:showSerName val="0"/>
          <c:showPercent val="0"/>
          <c:showBubbleSize val="0"/>
        </c:dLbls>
        <c:smooth val="0"/>
        <c:axId val="745731400"/>
        <c:axId val="745731728"/>
      </c:lineChart>
      <c:catAx>
        <c:axId val="745731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731728"/>
        <c:crosses val="autoZero"/>
        <c:auto val="1"/>
        <c:lblAlgn val="ctr"/>
        <c:lblOffset val="100"/>
        <c:noMultiLvlLbl val="0"/>
      </c:catAx>
      <c:valAx>
        <c:axId val="745731728"/>
        <c:scaling>
          <c:orientation val="minMax"/>
          <c:min val="6.0000000000000019E-3"/>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7314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'ODA-GNI time series'!$R$4</c:f>
              <c:strCache>
                <c:ptCount val="1"/>
              </c:strCache>
            </c:strRef>
          </c:tx>
          <c:spPr>
            <a:ln w="28575" cap="rnd">
              <a:solidFill>
                <a:schemeClr val="accent1"/>
              </a:solidFill>
              <a:round/>
            </a:ln>
            <a:effectLst/>
          </c:spPr>
          <c:marker>
            <c:symbol val="none"/>
          </c:marker>
          <c:cat>
            <c:strRef>
              <c:f>'ODA-GNI time series'!$A$12:$A$72</c:f>
              <c:strCache>
                <c:ptCount val="61"/>
                <c:pt idx="0">
                  <c:v>1961-62</c:v>
                </c:pt>
                <c:pt idx="1">
                  <c:v>1962-63</c:v>
                </c:pt>
                <c:pt idx="2">
                  <c:v>1963-64</c:v>
                </c:pt>
                <c:pt idx="3">
                  <c:v>1964-65</c:v>
                </c:pt>
                <c:pt idx="4">
                  <c:v>1965-66</c:v>
                </c:pt>
                <c:pt idx="5">
                  <c:v>1966-67</c:v>
                </c:pt>
                <c:pt idx="6">
                  <c:v>1967-68</c:v>
                </c:pt>
                <c:pt idx="7">
                  <c:v>1968-69</c:v>
                </c:pt>
                <c:pt idx="8">
                  <c:v>1969-70</c:v>
                </c:pt>
                <c:pt idx="9">
                  <c:v>1970-71</c:v>
                </c:pt>
                <c:pt idx="10">
                  <c:v>1971-72</c:v>
                </c:pt>
                <c:pt idx="11">
                  <c:v>1972-73</c:v>
                </c:pt>
                <c:pt idx="12">
                  <c:v>1973-74</c:v>
                </c:pt>
                <c:pt idx="13">
                  <c:v>1974-75</c:v>
                </c:pt>
                <c:pt idx="14">
                  <c:v>1975-76</c:v>
                </c:pt>
                <c:pt idx="15">
                  <c:v>1976-77</c:v>
                </c:pt>
                <c:pt idx="16">
                  <c:v>1977-78</c:v>
                </c:pt>
                <c:pt idx="17">
                  <c:v>1978-79</c:v>
                </c:pt>
                <c:pt idx="18">
                  <c:v>1979-80</c:v>
                </c:pt>
                <c:pt idx="19">
                  <c:v>1980-81</c:v>
                </c:pt>
                <c:pt idx="20">
                  <c:v>1981-82</c:v>
                </c:pt>
                <c:pt idx="21">
                  <c:v>1982-83</c:v>
                </c:pt>
                <c:pt idx="22">
                  <c:v>1983-84</c:v>
                </c:pt>
                <c:pt idx="23">
                  <c:v>1984-85</c:v>
                </c:pt>
                <c:pt idx="24">
                  <c:v>1985-86</c:v>
                </c:pt>
                <c:pt idx="25">
                  <c:v>1986-87</c:v>
                </c:pt>
                <c:pt idx="26">
                  <c:v>1987-88</c:v>
                </c:pt>
                <c:pt idx="27">
                  <c:v>1988-89</c:v>
                </c:pt>
                <c:pt idx="28">
                  <c:v>1989-90</c:v>
                </c:pt>
                <c:pt idx="29">
                  <c:v>1990-91</c:v>
                </c:pt>
                <c:pt idx="30">
                  <c:v>1991-92</c:v>
                </c:pt>
                <c:pt idx="31">
                  <c:v>1992-93</c:v>
                </c:pt>
                <c:pt idx="32">
                  <c:v>1993-94</c:v>
                </c:pt>
                <c:pt idx="33">
                  <c:v>1994-95</c:v>
                </c:pt>
                <c:pt idx="34">
                  <c:v>1995-96</c:v>
                </c:pt>
                <c:pt idx="35">
                  <c:v>1996-97</c:v>
                </c:pt>
                <c:pt idx="36">
                  <c:v>1997-98</c:v>
                </c:pt>
                <c:pt idx="37">
                  <c:v>1998-99</c:v>
                </c:pt>
                <c:pt idx="38">
                  <c:v>1999-00</c:v>
                </c:pt>
                <c:pt idx="39">
                  <c:v>2000-01</c:v>
                </c:pt>
                <c:pt idx="40">
                  <c:v>2001-02</c:v>
                </c:pt>
                <c:pt idx="41">
                  <c:v>2002-03</c:v>
                </c:pt>
                <c:pt idx="42">
                  <c:v>2003-04</c:v>
                </c:pt>
                <c:pt idx="43">
                  <c:v>2004-05</c:v>
                </c:pt>
                <c:pt idx="44">
                  <c:v>2005-06</c:v>
                </c:pt>
                <c:pt idx="45">
                  <c:v>2006-07</c:v>
                </c:pt>
                <c:pt idx="46">
                  <c:v>2007-08</c:v>
                </c:pt>
                <c:pt idx="47">
                  <c:v>2008-09</c:v>
                </c:pt>
                <c:pt idx="48">
                  <c:v>2009-10</c:v>
                </c:pt>
                <c:pt idx="49">
                  <c:v>2010-11</c:v>
                </c:pt>
                <c:pt idx="50">
                  <c:v>2011-12</c:v>
                </c:pt>
                <c:pt idx="51">
                  <c:v>2012-13</c:v>
                </c:pt>
                <c:pt idx="52">
                  <c:v>2013-14</c:v>
                </c:pt>
                <c:pt idx="53">
                  <c:v>2014-15</c:v>
                </c:pt>
                <c:pt idx="54">
                  <c:v>2015-16</c:v>
                </c:pt>
                <c:pt idx="55">
                  <c:v>2016-17</c:v>
                </c:pt>
                <c:pt idx="56">
                  <c:v>2017-18</c:v>
                </c:pt>
                <c:pt idx="57">
                  <c:v>2018-19</c:v>
                </c:pt>
                <c:pt idx="58">
                  <c:v>2019-20</c:v>
                </c:pt>
                <c:pt idx="59">
                  <c:v>2020-21</c:v>
                </c:pt>
                <c:pt idx="60">
                  <c:v>2021-22</c:v>
                </c:pt>
              </c:strCache>
            </c:strRef>
          </c:cat>
          <c:val>
            <c:numRef>
              <c:f>'ODA-GNI time series'!$G$12:$G$72</c:f>
              <c:numCache>
                <c:formatCode>#,##0.00</c:formatCode>
                <c:ptCount val="61"/>
                <c:pt idx="0">
                  <c:v>947.31950769230787</c:v>
                </c:pt>
                <c:pt idx="1">
                  <c:v>1110.1400480769232</c:v>
                </c:pt>
                <c:pt idx="2">
                  <c:v>1241.13657375</c:v>
                </c:pt>
                <c:pt idx="3">
                  <c:v>1332.3039495343376</c:v>
                </c:pt>
                <c:pt idx="4">
                  <c:v>1438.1074316197678</c:v>
                </c:pt>
                <c:pt idx="5">
                  <c:v>1613.6137563168541</c:v>
                </c:pt>
                <c:pt idx="6">
                  <c:v>1772.6843160840663</c:v>
                </c:pt>
                <c:pt idx="7">
                  <c:v>1838.7244892297874</c:v>
                </c:pt>
                <c:pt idx="8">
                  <c:v>1972.5590968237118</c:v>
                </c:pt>
                <c:pt idx="9">
                  <c:v>2000.0805525000001</c:v>
                </c:pt>
                <c:pt idx="10">
                  <c:v>2123.728466284404</c:v>
                </c:pt>
                <c:pt idx="11">
                  <c:v>2144.715309152542</c:v>
                </c:pt>
                <c:pt idx="12">
                  <c:v>2265.4751310000001</c:v>
                </c:pt>
                <c:pt idx="13">
                  <c:v>2445.0061676582286</c:v>
                </c:pt>
                <c:pt idx="14">
                  <c:v>2322.1370135593224</c:v>
                </c:pt>
                <c:pt idx="15">
                  <c:v>2218.3359702985072</c:v>
                </c:pt>
                <c:pt idx="16">
                  <c:v>2267.0594537557613</c:v>
                </c:pt>
                <c:pt idx="17">
                  <c:v>2291.4795866949153</c:v>
                </c:pt>
                <c:pt idx="18">
                  <c:v>2241.6693593702294</c:v>
                </c:pt>
                <c:pt idx="19">
                  <c:v>2309.0913000000005</c:v>
                </c:pt>
                <c:pt idx="20">
                  <c:v>2411.7175800000005</c:v>
                </c:pt>
                <c:pt idx="21">
                  <c:v>2506.3402069679305</c:v>
                </c:pt>
                <c:pt idx="22">
                  <c:v>2955.509990851649</c:v>
                </c:pt>
                <c:pt idx="23">
                  <c:v>3009.5642630076045</c:v>
                </c:pt>
                <c:pt idx="24">
                  <c:v>2827.304041583373</c:v>
                </c:pt>
                <c:pt idx="25">
                  <c:v>2448.6808888486962</c:v>
                </c:pt>
                <c:pt idx="26">
                  <c:v>2387.6870536706906</c:v>
                </c:pt>
                <c:pt idx="27">
                  <c:v>2602.3655005921696</c:v>
                </c:pt>
                <c:pt idx="28">
                  <c:v>2373.394033382312</c:v>
                </c:pt>
                <c:pt idx="29">
                  <c:v>2467.6749940271193</c:v>
                </c:pt>
                <c:pt idx="30">
                  <c:v>2572.6119933097989</c:v>
                </c:pt>
                <c:pt idx="31">
                  <c:v>2632.1836842421881</c:v>
                </c:pt>
                <c:pt idx="32">
                  <c:v>2631.4221667281918</c:v>
                </c:pt>
                <c:pt idx="33">
                  <c:v>2649.8874796553323</c:v>
                </c:pt>
                <c:pt idx="34">
                  <c:v>2712.6976106604207</c:v>
                </c:pt>
                <c:pt idx="35">
                  <c:v>2471.9202037715245</c:v>
                </c:pt>
                <c:pt idx="36">
                  <c:v>2472.3378881973294</c:v>
                </c:pt>
                <c:pt idx="37">
                  <c:v>2596.1171128414103</c:v>
                </c:pt>
                <c:pt idx="38">
                  <c:v>2881.9942848403857</c:v>
                </c:pt>
                <c:pt idx="39">
                  <c:v>2539.8377088010061</c:v>
                </c:pt>
                <c:pt idx="40">
                  <c:v>2661.5065626041132</c:v>
                </c:pt>
                <c:pt idx="41">
                  <c:v>2703.7769902265272</c:v>
                </c:pt>
                <c:pt idx="42">
                  <c:v>2845.4637007513029</c:v>
                </c:pt>
                <c:pt idx="43">
                  <c:v>3090.5453834269979</c:v>
                </c:pt>
                <c:pt idx="44">
                  <c:v>3520.1353328596297</c:v>
                </c:pt>
                <c:pt idx="45">
                  <c:v>3790.8732510155855</c:v>
                </c:pt>
                <c:pt idx="46">
                  <c:v>3840.6459018177329</c:v>
                </c:pt>
                <c:pt idx="47">
                  <c:v>4609.713859067474</c:v>
                </c:pt>
                <c:pt idx="48">
                  <c:v>4595.5549726845093</c:v>
                </c:pt>
                <c:pt idx="49">
                  <c:v>4957.6078543927824</c:v>
                </c:pt>
                <c:pt idx="50">
                  <c:v>5479.4915384978376</c:v>
                </c:pt>
                <c:pt idx="51">
                  <c:v>5454.2811086556994</c:v>
                </c:pt>
                <c:pt idx="52">
                  <c:v>5507.2953931699412</c:v>
                </c:pt>
                <c:pt idx="53">
                  <c:v>5428.0097466462794</c:v>
                </c:pt>
                <c:pt idx="54">
                  <c:v>4475.2028587346695</c:v>
                </c:pt>
                <c:pt idx="55">
                  <c:v>4206.7701135000016</c:v>
                </c:pt>
                <c:pt idx="56">
                  <c:v>4168.7325000000001</c:v>
                </c:pt>
                <c:pt idx="57">
                  <c:v>4161</c:v>
                </c:pt>
                <c:pt idx="58">
                  <c:v>4068.2926829268299</c:v>
                </c:pt>
                <c:pt idx="59">
                  <c:v>3807.2575847709704</c:v>
                </c:pt>
                <c:pt idx="60">
                  <c:v>3714.3976436789958</c:v>
                </c:pt>
              </c:numCache>
            </c:numRef>
          </c:val>
          <c:smooth val="0"/>
          <c:extLst>
            <c:ext xmlns:c16="http://schemas.microsoft.com/office/drawing/2014/chart" uri="{C3380CC4-5D6E-409C-BE32-E72D297353CC}">
              <c16:uniqueId val="{00000000-243A-44B5-B8EC-51AAA606B659}"/>
            </c:ext>
          </c:extLst>
        </c:ser>
        <c:dLbls>
          <c:showLegendKey val="0"/>
          <c:showVal val="0"/>
          <c:showCatName val="0"/>
          <c:showSerName val="0"/>
          <c:showPercent val="0"/>
          <c:showBubbleSize val="0"/>
        </c:dLbls>
        <c:smooth val="0"/>
        <c:axId val="205776512"/>
        <c:axId val="205776904"/>
      </c:lineChart>
      <c:catAx>
        <c:axId val="2057765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76904"/>
        <c:crosses val="autoZero"/>
        <c:auto val="1"/>
        <c:lblAlgn val="ctr"/>
        <c:lblOffset val="100"/>
        <c:noMultiLvlLbl val="0"/>
      </c:catAx>
      <c:valAx>
        <c:axId val="205776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AUD -</a:t>
                </a:r>
                <a:r>
                  <a:rPr lang="en-US" baseline="0"/>
                  <a:t> Million (2018-19 prices)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7651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95965633358927"/>
          <c:y val="4.9889343284075557E-2"/>
          <c:w val="0.85899700395959111"/>
          <c:h val="0.67803086439266702"/>
        </c:manualLayout>
      </c:layout>
      <c:lineChart>
        <c:grouping val="standard"/>
        <c:varyColors val="0"/>
        <c:ser>
          <c:idx val="4"/>
          <c:order val="0"/>
          <c:spPr>
            <a:ln w="28575" cap="rnd">
              <a:solidFill>
                <a:srgbClr val="FF0000"/>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'ODA-GNI time series'!$A$63:$A$72</c:f>
              <c:strCache>
                <c:ptCount val="10"/>
                <c:pt idx="0">
                  <c:v>2012-13</c:v>
                </c:pt>
                <c:pt idx="1">
                  <c:v>2013-14</c:v>
                </c:pt>
                <c:pt idx="2">
                  <c:v>2014-15</c:v>
                </c:pt>
                <c:pt idx="3">
                  <c:v>2015-16</c:v>
                </c:pt>
                <c:pt idx="4">
                  <c:v>2016-17</c:v>
                </c:pt>
                <c:pt idx="5">
                  <c:v>2017-18</c:v>
                </c:pt>
                <c:pt idx="6">
                  <c:v>2018-19</c:v>
                </c:pt>
                <c:pt idx="7">
                  <c:v>2019-20</c:v>
                </c:pt>
                <c:pt idx="8">
                  <c:v>2020-21</c:v>
                </c:pt>
                <c:pt idx="9">
                  <c:v>2021-22</c:v>
                </c:pt>
              </c:strCache>
            </c:strRef>
          </c:cat>
          <c:val>
            <c:numRef>
              <c:f>'ODA-GNI time series'!$I$68:$I$72</c:f>
              <c:numCache>
                <c:formatCode>0.000</c:formatCode>
                <c:ptCount val="5"/>
                <c:pt idx="0">
                  <c:v>0.23008904979546074</c:v>
                </c:pt>
                <c:pt idx="1">
                  <c:v>0.22634184389039</c:v>
                </c:pt>
                <c:pt idx="2">
                  <c:v>0.21654549697421649</c:v>
                </c:pt>
                <c:pt idx="3">
                  <c:v>0.19877273023231923</c:v>
                </c:pt>
                <c:pt idx="4">
                  <c:v>0.19021313897829598</c:v>
                </c:pt>
              </c:numCache>
            </c:numRef>
          </c:val>
          <c:smooth val="0"/>
          <c:extLst>
            <c:ext xmlns:c16="http://schemas.microsoft.com/office/drawing/2014/chart" uri="{C3380CC4-5D6E-409C-BE32-E72D297353CC}">
              <c16:uniqueId val="{00000000-C215-4BC1-880C-8944FBF80872}"/>
            </c:ext>
          </c:extLst>
        </c:ser>
        <c:dLbls>
          <c:showLegendKey val="0"/>
          <c:showVal val="0"/>
          <c:showCatName val="0"/>
          <c:showSerName val="0"/>
          <c:showPercent val="0"/>
          <c:showBubbleSize val="0"/>
        </c:dLbls>
        <c:smooth val="0"/>
        <c:axId val="663326968"/>
        <c:axId val="663324728"/>
      </c:lineChart>
      <c:catAx>
        <c:axId val="6633269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3324728"/>
        <c:crosses val="autoZero"/>
        <c:auto val="1"/>
        <c:lblAlgn val="ctr"/>
        <c:lblOffset val="100"/>
        <c:noMultiLvlLbl val="0"/>
      </c:catAx>
      <c:valAx>
        <c:axId val="663324728"/>
        <c:scaling>
          <c:orientation val="minMax"/>
          <c:min val="0.15000000000000002"/>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633269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'ODA-GNI time series'!$R$4</c:f>
              <c:strCache>
                <c:ptCount val="1"/>
              </c:strCache>
            </c:strRef>
          </c:tx>
          <c:spPr>
            <a:ln w="28575" cap="rnd">
              <a:solidFill>
                <a:schemeClr val="accent1"/>
              </a:solidFill>
              <a:round/>
            </a:ln>
            <a:effectLst/>
          </c:spPr>
          <c:marker>
            <c:symbol val="none"/>
          </c:marker>
          <c:cat>
            <c:strRef>
              <c:f>'ODA-GNI time series'!$A$12:$A$72</c:f>
              <c:strCache>
                <c:ptCount val="61"/>
                <c:pt idx="0">
                  <c:v>1961-62</c:v>
                </c:pt>
                <c:pt idx="1">
                  <c:v>1962-63</c:v>
                </c:pt>
                <c:pt idx="2">
                  <c:v>1963-64</c:v>
                </c:pt>
                <c:pt idx="3">
                  <c:v>1964-65</c:v>
                </c:pt>
                <c:pt idx="4">
                  <c:v>1965-66</c:v>
                </c:pt>
                <c:pt idx="5">
                  <c:v>1966-67</c:v>
                </c:pt>
                <c:pt idx="6">
                  <c:v>1967-68</c:v>
                </c:pt>
                <c:pt idx="7">
                  <c:v>1968-69</c:v>
                </c:pt>
                <c:pt idx="8">
                  <c:v>1969-70</c:v>
                </c:pt>
                <c:pt idx="9">
                  <c:v>1970-71</c:v>
                </c:pt>
                <c:pt idx="10">
                  <c:v>1971-72</c:v>
                </c:pt>
                <c:pt idx="11">
                  <c:v>1972-73</c:v>
                </c:pt>
                <c:pt idx="12">
                  <c:v>1973-74</c:v>
                </c:pt>
                <c:pt idx="13">
                  <c:v>1974-75</c:v>
                </c:pt>
                <c:pt idx="14">
                  <c:v>1975-76</c:v>
                </c:pt>
                <c:pt idx="15">
                  <c:v>1976-77</c:v>
                </c:pt>
                <c:pt idx="16">
                  <c:v>1977-78</c:v>
                </c:pt>
                <c:pt idx="17">
                  <c:v>1978-79</c:v>
                </c:pt>
                <c:pt idx="18">
                  <c:v>1979-80</c:v>
                </c:pt>
                <c:pt idx="19">
                  <c:v>1980-81</c:v>
                </c:pt>
                <c:pt idx="20">
                  <c:v>1981-82</c:v>
                </c:pt>
                <c:pt idx="21">
                  <c:v>1982-83</c:v>
                </c:pt>
                <c:pt idx="22">
                  <c:v>1983-84</c:v>
                </c:pt>
                <c:pt idx="23">
                  <c:v>1984-85</c:v>
                </c:pt>
                <c:pt idx="24">
                  <c:v>1985-86</c:v>
                </c:pt>
                <c:pt idx="25">
                  <c:v>1986-87</c:v>
                </c:pt>
                <c:pt idx="26">
                  <c:v>1987-88</c:v>
                </c:pt>
                <c:pt idx="27">
                  <c:v>1988-89</c:v>
                </c:pt>
                <c:pt idx="28">
                  <c:v>1989-90</c:v>
                </c:pt>
                <c:pt idx="29">
                  <c:v>1990-91</c:v>
                </c:pt>
                <c:pt idx="30">
                  <c:v>1991-92</c:v>
                </c:pt>
                <c:pt idx="31">
                  <c:v>1992-93</c:v>
                </c:pt>
                <c:pt idx="32">
                  <c:v>1993-94</c:v>
                </c:pt>
                <c:pt idx="33">
                  <c:v>1994-95</c:v>
                </c:pt>
                <c:pt idx="34">
                  <c:v>1995-96</c:v>
                </c:pt>
                <c:pt idx="35">
                  <c:v>1996-97</c:v>
                </c:pt>
                <c:pt idx="36">
                  <c:v>1997-98</c:v>
                </c:pt>
                <c:pt idx="37">
                  <c:v>1998-99</c:v>
                </c:pt>
                <c:pt idx="38">
                  <c:v>1999-00</c:v>
                </c:pt>
                <c:pt idx="39">
                  <c:v>2000-01</c:v>
                </c:pt>
                <c:pt idx="40">
                  <c:v>2001-02</c:v>
                </c:pt>
                <c:pt idx="41">
                  <c:v>2002-03</c:v>
                </c:pt>
                <c:pt idx="42">
                  <c:v>2003-04</c:v>
                </c:pt>
                <c:pt idx="43">
                  <c:v>2004-05</c:v>
                </c:pt>
                <c:pt idx="44">
                  <c:v>2005-06</c:v>
                </c:pt>
                <c:pt idx="45">
                  <c:v>2006-07</c:v>
                </c:pt>
                <c:pt idx="46">
                  <c:v>2007-08</c:v>
                </c:pt>
                <c:pt idx="47">
                  <c:v>2008-09</c:v>
                </c:pt>
                <c:pt idx="48">
                  <c:v>2009-10</c:v>
                </c:pt>
                <c:pt idx="49">
                  <c:v>2010-11</c:v>
                </c:pt>
                <c:pt idx="50">
                  <c:v>2011-12</c:v>
                </c:pt>
                <c:pt idx="51">
                  <c:v>2012-13</c:v>
                </c:pt>
                <c:pt idx="52">
                  <c:v>2013-14</c:v>
                </c:pt>
                <c:pt idx="53">
                  <c:v>2014-15</c:v>
                </c:pt>
                <c:pt idx="54">
                  <c:v>2015-16</c:v>
                </c:pt>
                <c:pt idx="55">
                  <c:v>2016-17</c:v>
                </c:pt>
                <c:pt idx="56">
                  <c:v>2017-18</c:v>
                </c:pt>
                <c:pt idx="57">
                  <c:v>2018-19</c:v>
                </c:pt>
                <c:pt idx="58">
                  <c:v>2019-20</c:v>
                </c:pt>
                <c:pt idx="59">
                  <c:v>2020-21</c:v>
                </c:pt>
                <c:pt idx="60">
                  <c:v>2021-22</c:v>
                </c:pt>
              </c:strCache>
            </c:strRef>
          </c:cat>
          <c:val>
            <c:numRef>
              <c:f>'ODA-GNI time series'!$G$12:$G$72</c:f>
              <c:numCache>
                <c:formatCode>#,##0.00</c:formatCode>
                <c:ptCount val="61"/>
                <c:pt idx="0">
                  <c:v>947.31950769230787</c:v>
                </c:pt>
                <c:pt idx="1">
                  <c:v>1110.1400480769232</c:v>
                </c:pt>
                <c:pt idx="2">
                  <c:v>1241.13657375</c:v>
                </c:pt>
                <c:pt idx="3">
                  <c:v>1332.3039495343376</c:v>
                </c:pt>
                <c:pt idx="4">
                  <c:v>1438.1074316197678</c:v>
                </c:pt>
                <c:pt idx="5">
                  <c:v>1613.6137563168541</c:v>
                </c:pt>
                <c:pt idx="6">
                  <c:v>1772.6843160840663</c:v>
                </c:pt>
                <c:pt idx="7">
                  <c:v>1838.7244892297874</c:v>
                </c:pt>
                <c:pt idx="8">
                  <c:v>1972.5590968237118</c:v>
                </c:pt>
                <c:pt idx="9">
                  <c:v>2000.0805525000001</c:v>
                </c:pt>
                <c:pt idx="10">
                  <c:v>2123.728466284404</c:v>
                </c:pt>
                <c:pt idx="11">
                  <c:v>2144.715309152542</c:v>
                </c:pt>
                <c:pt idx="12">
                  <c:v>2265.4751310000001</c:v>
                </c:pt>
                <c:pt idx="13">
                  <c:v>2445.0061676582286</c:v>
                </c:pt>
                <c:pt idx="14">
                  <c:v>2322.1370135593224</c:v>
                </c:pt>
                <c:pt idx="15">
                  <c:v>2218.3359702985072</c:v>
                </c:pt>
                <c:pt idx="16">
                  <c:v>2267.0594537557613</c:v>
                </c:pt>
                <c:pt idx="17">
                  <c:v>2291.4795866949153</c:v>
                </c:pt>
                <c:pt idx="18">
                  <c:v>2241.6693593702294</c:v>
                </c:pt>
                <c:pt idx="19">
                  <c:v>2309.0913000000005</c:v>
                </c:pt>
                <c:pt idx="20">
                  <c:v>2411.7175800000005</c:v>
                </c:pt>
                <c:pt idx="21">
                  <c:v>2506.3402069679305</c:v>
                </c:pt>
                <c:pt idx="22">
                  <c:v>2955.509990851649</c:v>
                </c:pt>
                <c:pt idx="23">
                  <c:v>3009.5642630076045</c:v>
                </c:pt>
                <c:pt idx="24">
                  <c:v>2827.304041583373</c:v>
                </c:pt>
                <c:pt idx="25">
                  <c:v>2448.6808888486962</c:v>
                </c:pt>
                <c:pt idx="26">
                  <c:v>2387.6870536706906</c:v>
                </c:pt>
                <c:pt idx="27">
                  <c:v>2602.3655005921696</c:v>
                </c:pt>
                <c:pt idx="28">
                  <c:v>2373.394033382312</c:v>
                </c:pt>
                <c:pt idx="29">
                  <c:v>2467.6749940271193</c:v>
                </c:pt>
                <c:pt idx="30">
                  <c:v>2572.6119933097989</c:v>
                </c:pt>
                <c:pt idx="31">
                  <c:v>2632.1836842421881</c:v>
                </c:pt>
                <c:pt idx="32">
                  <c:v>2631.4221667281918</c:v>
                </c:pt>
                <c:pt idx="33">
                  <c:v>2649.8874796553323</c:v>
                </c:pt>
                <c:pt idx="34">
                  <c:v>2712.6976106604207</c:v>
                </c:pt>
                <c:pt idx="35">
                  <c:v>2471.9202037715245</c:v>
                </c:pt>
                <c:pt idx="36">
                  <c:v>2472.3378881973294</c:v>
                </c:pt>
                <c:pt idx="37">
                  <c:v>2596.1171128414103</c:v>
                </c:pt>
                <c:pt idx="38">
                  <c:v>2881.9942848403857</c:v>
                </c:pt>
                <c:pt idx="39">
                  <c:v>2539.8377088010061</c:v>
                </c:pt>
                <c:pt idx="40">
                  <c:v>2661.5065626041132</c:v>
                </c:pt>
                <c:pt idx="41">
                  <c:v>2703.7769902265272</c:v>
                </c:pt>
                <c:pt idx="42">
                  <c:v>2845.4637007513029</c:v>
                </c:pt>
                <c:pt idx="43">
                  <c:v>3090.5453834269979</c:v>
                </c:pt>
                <c:pt idx="44">
                  <c:v>3520.1353328596297</c:v>
                </c:pt>
                <c:pt idx="45">
                  <c:v>3790.8732510155855</c:v>
                </c:pt>
                <c:pt idx="46">
                  <c:v>3840.6459018177329</c:v>
                </c:pt>
                <c:pt idx="47">
                  <c:v>4609.713859067474</c:v>
                </c:pt>
                <c:pt idx="48">
                  <c:v>4595.5549726845093</c:v>
                </c:pt>
                <c:pt idx="49">
                  <c:v>4957.6078543927824</c:v>
                </c:pt>
                <c:pt idx="50">
                  <c:v>5479.4915384978376</c:v>
                </c:pt>
                <c:pt idx="51">
                  <c:v>5454.2811086556994</c:v>
                </c:pt>
                <c:pt idx="52">
                  <c:v>5507.2953931699412</c:v>
                </c:pt>
                <c:pt idx="53">
                  <c:v>5428.0097466462794</c:v>
                </c:pt>
                <c:pt idx="54">
                  <c:v>4475.2028587346695</c:v>
                </c:pt>
                <c:pt idx="55">
                  <c:v>4206.7701135000016</c:v>
                </c:pt>
                <c:pt idx="56">
                  <c:v>4168.7325000000001</c:v>
                </c:pt>
                <c:pt idx="57">
                  <c:v>4161</c:v>
                </c:pt>
                <c:pt idx="58">
                  <c:v>4068.2926829268299</c:v>
                </c:pt>
                <c:pt idx="59">
                  <c:v>3807.2575847709704</c:v>
                </c:pt>
                <c:pt idx="60">
                  <c:v>3714.3976436789958</c:v>
                </c:pt>
              </c:numCache>
            </c:numRef>
          </c:val>
          <c:smooth val="0"/>
          <c:extLst>
            <c:ext xmlns:c16="http://schemas.microsoft.com/office/drawing/2014/chart" uri="{C3380CC4-5D6E-409C-BE32-E72D297353CC}">
              <c16:uniqueId val="{00000000-95CA-4B2A-8D0A-9A00099AF27E}"/>
            </c:ext>
          </c:extLst>
        </c:ser>
        <c:dLbls>
          <c:showLegendKey val="0"/>
          <c:showVal val="0"/>
          <c:showCatName val="0"/>
          <c:showSerName val="0"/>
          <c:showPercent val="0"/>
          <c:showBubbleSize val="0"/>
        </c:dLbls>
        <c:smooth val="0"/>
        <c:axId val="205776512"/>
        <c:axId val="205776904"/>
      </c:lineChart>
      <c:catAx>
        <c:axId val="2057765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76904"/>
        <c:crosses val="autoZero"/>
        <c:auto val="1"/>
        <c:lblAlgn val="ctr"/>
        <c:lblOffset val="100"/>
        <c:noMultiLvlLbl val="0"/>
      </c:catAx>
      <c:valAx>
        <c:axId val="205776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AUD -</a:t>
                </a:r>
                <a:r>
                  <a:rPr lang="en-US" baseline="0"/>
                  <a:t> Million )2017-18 [prices)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7651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'ODA-GNI time series'!$R$4</c:f>
              <c:strCache>
                <c:ptCount val="1"/>
              </c:strCache>
            </c:strRef>
          </c:tx>
          <c:spPr>
            <a:solidFill>
              <a:schemeClr val="accent1"/>
            </a:solidFill>
            <a:ln>
              <a:noFill/>
            </a:ln>
            <a:effectLst/>
          </c:spPr>
          <c:invertIfNegative val="0"/>
          <c:dPt>
            <c:idx val="13"/>
            <c:invertIfNegative val="0"/>
            <c:bubble3D val="0"/>
            <c:spPr>
              <a:solidFill>
                <a:srgbClr val="FF0000"/>
              </a:solidFill>
              <a:ln>
                <a:noFill/>
              </a:ln>
              <a:effectLst/>
            </c:spPr>
            <c:extLst>
              <c:ext xmlns:c16="http://schemas.microsoft.com/office/drawing/2014/chart" uri="{C3380CC4-5D6E-409C-BE32-E72D297353CC}">
                <c16:uniqueId val="{00000024-CC53-4714-9E2B-2E9F4F6BA426}"/>
              </c:ext>
            </c:extLst>
          </c:dPt>
          <c:dPt>
            <c:idx val="14"/>
            <c:invertIfNegative val="0"/>
            <c:bubble3D val="0"/>
            <c:spPr>
              <a:solidFill>
                <a:srgbClr val="FF0000"/>
              </a:solidFill>
              <a:ln>
                <a:noFill/>
              </a:ln>
              <a:effectLst/>
            </c:spPr>
            <c:extLst>
              <c:ext xmlns:c16="http://schemas.microsoft.com/office/drawing/2014/chart" uri="{C3380CC4-5D6E-409C-BE32-E72D297353CC}">
                <c16:uniqueId val="{00000001-B631-4C17-86AA-B7671BA9F120}"/>
              </c:ext>
            </c:extLst>
          </c:dPt>
          <c:dPt>
            <c:idx val="15"/>
            <c:invertIfNegative val="0"/>
            <c:bubble3D val="0"/>
            <c:spPr>
              <a:solidFill>
                <a:srgbClr val="0070C0"/>
              </a:solidFill>
              <a:ln>
                <a:noFill/>
              </a:ln>
              <a:effectLst/>
            </c:spPr>
            <c:extLst>
              <c:ext xmlns:c16="http://schemas.microsoft.com/office/drawing/2014/chart" uri="{C3380CC4-5D6E-409C-BE32-E72D297353CC}">
                <c16:uniqueId val="{00000003-B631-4C17-86AA-B7671BA9F120}"/>
              </c:ext>
            </c:extLst>
          </c:dPt>
          <c:dPt>
            <c:idx val="23"/>
            <c:invertIfNegative val="0"/>
            <c:bubble3D val="0"/>
            <c:spPr>
              <a:solidFill>
                <a:srgbClr val="FF0000"/>
              </a:solidFill>
              <a:ln>
                <a:noFill/>
              </a:ln>
              <a:effectLst/>
            </c:spPr>
            <c:extLst>
              <c:ext xmlns:c16="http://schemas.microsoft.com/office/drawing/2014/chart" uri="{C3380CC4-5D6E-409C-BE32-E72D297353CC}">
                <c16:uniqueId val="{00000023-CC53-4714-9E2B-2E9F4F6BA426}"/>
              </c:ext>
            </c:extLst>
          </c:dPt>
          <c:dPt>
            <c:idx val="24"/>
            <c:invertIfNegative val="0"/>
            <c:bubble3D val="0"/>
            <c:spPr>
              <a:solidFill>
                <a:srgbClr val="FF0000"/>
              </a:solidFill>
              <a:ln>
                <a:noFill/>
              </a:ln>
              <a:effectLst/>
            </c:spPr>
            <c:extLst>
              <c:ext xmlns:c16="http://schemas.microsoft.com/office/drawing/2014/chart" uri="{C3380CC4-5D6E-409C-BE32-E72D297353CC}">
                <c16:uniqueId val="{00000005-B631-4C17-86AA-B7671BA9F120}"/>
              </c:ext>
            </c:extLst>
          </c:dPt>
          <c:dPt>
            <c:idx val="25"/>
            <c:invertIfNegative val="0"/>
            <c:bubble3D val="0"/>
            <c:spPr>
              <a:solidFill>
                <a:srgbClr val="FF0000"/>
              </a:solidFill>
              <a:ln>
                <a:solidFill>
                  <a:srgbClr val="FF0000"/>
                </a:solidFill>
              </a:ln>
              <a:effectLst/>
            </c:spPr>
            <c:extLst>
              <c:ext xmlns:c16="http://schemas.microsoft.com/office/drawing/2014/chart" uri="{C3380CC4-5D6E-409C-BE32-E72D297353CC}">
                <c16:uniqueId val="{00000007-B631-4C17-86AA-B7671BA9F120}"/>
              </c:ext>
            </c:extLst>
          </c:dPt>
          <c:dPt>
            <c:idx val="26"/>
            <c:invertIfNegative val="0"/>
            <c:bubble3D val="0"/>
            <c:spPr>
              <a:solidFill>
                <a:srgbClr val="0070C0"/>
              </a:solidFill>
              <a:ln>
                <a:noFill/>
              </a:ln>
              <a:effectLst/>
            </c:spPr>
            <c:extLst>
              <c:ext xmlns:c16="http://schemas.microsoft.com/office/drawing/2014/chart" uri="{C3380CC4-5D6E-409C-BE32-E72D297353CC}">
                <c16:uniqueId val="{00000009-B631-4C17-86AA-B7671BA9F120}"/>
              </c:ext>
            </c:extLst>
          </c:dPt>
          <c:dPt>
            <c:idx val="27"/>
            <c:invertIfNegative val="0"/>
            <c:bubble3D val="0"/>
            <c:spPr>
              <a:solidFill>
                <a:srgbClr val="FF0000"/>
              </a:solidFill>
              <a:ln>
                <a:noFill/>
              </a:ln>
              <a:effectLst/>
            </c:spPr>
            <c:extLst>
              <c:ext xmlns:c16="http://schemas.microsoft.com/office/drawing/2014/chart" uri="{C3380CC4-5D6E-409C-BE32-E72D297353CC}">
                <c16:uniqueId val="{00000022-CC53-4714-9E2B-2E9F4F6BA426}"/>
              </c:ext>
            </c:extLst>
          </c:dPt>
          <c:dPt>
            <c:idx val="28"/>
            <c:invertIfNegative val="0"/>
            <c:bubble3D val="0"/>
            <c:spPr>
              <a:solidFill>
                <a:srgbClr val="0070C0"/>
              </a:solidFill>
              <a:ln>
                <a:noFill/>
              </a:ln>
              <a:effectLst/>
            </c:spPr>
            <c:extLst>
              <c:ext xmlns:c16="http://schemas.microsoft.com/office/drawing/2014/chart" uri="{C3380CC4-5D6E-409C-BE32-E72D297353CC}">
                <c16:uniqueId val="{0000000B-B631-4C17-86AA-B7671BA9F120}"/>
              </c:ext>
            </c:extLst>
          </c:dPt>
          <c:dPt>
            <c:idx val="34"/>
            <c:invertIfNegative val="0"/>
            <c:bubble3D val="0"/>
            <c:spPr>
              <a:solidFill>
                <a:srgbClr val="FF0000"/>
              </a:solidFill>
              <a:ln>
                <a:noFill/>
              </a:ln>
              <a:effectLst/>
            </c:spPr>
            <c:extLst>
              <c:ext xmlns:c16="http://schemas.microsoft.com/office/drawing/2014/chart" uri="{C3380CC4-5D6E-409C-BE32-E72D297353CC}">
                <c16:uniqueId val="{00000021-CC53-4714-9E2B-2E9F4F6BA426}"/>
              </c:ext>
            </c:extLst>
          </c:dPt>
          <c:dPt>
            <c:idx val="35"/>
            <c:invertIfNegative val="0"/>
            <c:bubble3D val="0"/>
            <c:spPr>
              <a:solidFill>
                <a:srgbClr val="FF0000"/>
              </a:solidFill>
              <a:ln>
                <a:noFill/>
              </a:ln>
              <a:effectLst/>
            </c:spPr>
            <c:extLst>
              <c:ext xmlns:c16="http://schemas.microsoft.com/office/drawing/2014/chart" uri="{C3380CC4-5D6E-409C-BE32-E72D297353CC}">
                <c16:uniqueId val="{0000000D-B631-4C17-86AA-B7671BA9F120}"/>
              </c:ext>
            </c:extLst>
          </c:dPt>
          <c:dPt>
            <c:idx val="38"/>
            <c:invertIfNegative val="0"/>
            <c:bubble3D val="0"/>
            <c:spPr>
              <a:solidFill>
                <a:srgbClr val="FF0000"/>
              </a:solidFill>
              <a:ln>
                <a:noFill/>
              </a:ln>
              <a:effectLst/>
            </c:spPr>
            <c:extLst>
              <c:ext xmlns:c16="http://schemas.microsoft.com/office/drawing/2014/chart" uri="{C3380CC4-5D6E-409C-BE32-E72D297353CC}">
                <c16:uniqueId val="{00000020-CC53-4714-9E2B-2E9F4F6BA426}"/>
              </c:ext>
            </c:extLst>
          </c:dPt>
          <c:dPt>
            <c:idx val="39"/>
            <c:invertIfNegative val="0"/>
            <c:bubble3D val="0"/>
            <c:spPr>
              <a:solidFill>
                <a:srgbClr val="0070C0"/>
              </a:solidFill>
              <a:ln>
                <a:noFill/>
              </a:ln>
              <a:effectLst/>
            </c:spPr>
            <c:extLst>
              <c:ext xmlns:c16="http://schemas.microsoft.com/office/drawing/2014/chart" uri="{C3380CC4-5D6E-409C-BE32-E72D297353CC}">
                <c16:uniqueId val="{0000000F-B631-4C17-86AA-B7671BA9F120}"/>
              </c:ext>
            </c:extLst>
          </c:dPt>
          <c:dPt>
            <c:idx val="50"/>
            <c:invertIfNegative val="0"/>
            <c:bubble3D val="0"/>
            <c:spPr>
              <a:solidFill>
                <a:srgbClr val="FF0000"/>
              </a:solidFill>
              <a:ln>
                <a:noFill/>
              </a:ln>
              <a:effectLst/>
            </c:spPr>
            <c:extLst>
              <c:ext xmlns:c16="http://schemas.microsoft.com/office/drawing/2014/chart" uri="{C3380CC4-5D6E-409C-BE32-E72D297353CC}">
                <c16:uniqueId val="{00000025-CC53-4714-9E2B-2E9F4F6BA426}"/>
              </c:ext>
            </c:extLst>
          </c:dPt>
          <c:dPt>
            <c:idx val="51"/>
            <c:invertIfNegative val="0"/>
            <c:bubble3D val="0"/>
            <c:spPr>
              <a:solidFill>
                <a:srgbClr val="0070C0"/>
              </a:solidFill>
              <a:ln>
                <a:noFill/>
              </a:ln>
              <a:effectLst/>
            </c:spPr>
            <c:extLst>
              <c:ext xmlns:c16="http://schemas.microsoft.com/office/drawing/2014/chart" uri="{C3380CC4-5D6E-409C-BE32-E72D297353CC}">
                <c16:uniqueId val="{0000001C-CC53-4714-9E2B-2E9F4F6BA426}"/>
              </c:ext>
            </c:extLst>
          </c:dPt>
          <c:dPt>
            <c:idx val="52"/>
            <c:invertIfNegative val="0"/>
            <c:bubble3D val="0"/>
            <c:spPr>
              <a:solidFill>
                <a:srgbClr val="FF0000"/>
              </a:solidFill>
              <a:ln>
                <a:noFill/>
              </a:ln>
              <a:effectLst/>
            </c:spPr>
            <c:extLst>
              <c:ext xmlns:c16="http://schemas.microsoft.com/office/drawing/2014/chart" uri="{C3380CC4-5D6E-409C-BE32-E72D297353CC}">
                <c16:uniqueId val="{00000011-B631-4C17-86AA-B7671BA9F120}"/>
              </c:ext>
            </c:extLst>
          </c:dPt>
          <c:dPt>
            <c:idx val="53"/>
            <c:invertIfNegative val="0"/>
            <c:bubble3D val="0"/>
            <c:spPr>
              <a:solidFill>
                <a:srgbClr val="FF0000"/>
              </a:solidFill>
              <a:ln>
                <a:noFill/>
              </a:ln>
              <a:effectLst/>
            </c:spPr>
            <c:extLst>
              <c:ext xmlns:c16="http://schemas.microsoft.com/office/drawing/2014/chart" uri="{C3380CC4-5D6E-409C-BE32-E72D297353CC}">
                <c16:uniqueId val="{00000013-B631-4C17-86AA-B7671BA9F120}"/>
              </c:ext>
            </c:extLst>
          </c:dPt>
          <c:dPt>
            <c:idx val="54"/>
            <c:invertIfNegative val="0"/>
            <c:bubble3D val="0"/>
            <c:spPr>
              <a:solidFill>
                <a:srgbClr val="FF0000"/>
              </a:solidFill>
              <a:ln>
                <a:noFill/>
              </a:ln>
              <a:effectLst/>
            </c:spPr>
            <c:extLst>
              <c:ext xmlns:c16="http://schemas.microsoft.com/office/drawing/2014/chart" uri="{C3380CC4-5D6E-409C-BE32-E72D297353CC}">
                <c16:uniqueId val="{00000015-B631-4C17-86AA-B7671BA9F120}"/>
              </c:ext>
            </c:extLst>
          </c:dPt>
          <c:dPt>
            <c:idx val="55"/>
            <c:invertIfNegative val="0"/>
            <c:bubble3D val="0"/>
            <c:spPr>
              <a:solidFill>
                <a:srgbClr val="FF0000"/>
              </a:solidFill>
              <a:ln>
                <a:noFill/>
              </a:ln>
              <a:effectLst/>
            </c:spPr>
            <c:extLst>
              <c:ext xmlns:c16="http://schemas.microsoft.com/office/drawing/2014/chart" uri="{C3380CC4-5D6E-409C-BE32-E72D297353CC}">
                <c16:uniqueId val="{00000017-B631-4C17-86AA-B7671BA9F120}"/>
              </c:ext>
            </c:extLst>
          </c:dPt>
          <c:dPt>
            <c:idx val="56"/>
            <c:invertIfNegative val="0"/>
            <c:bubble3D val="0"/>
            <c:spPr>
              <a:solidFill>
                <a:srgbClr val="FF0000"/>
              </a:solidFill>
              <a:ln>
                <a:noFill/>
              </a:ln>
              <a:effectLst/>
            </c:spPr>
            <c:extLst>
              <c:ext xmlns:c16="http://schemas.microsoft.com/office/drawing/2014/chart" uri="{C3380CC4-5D6E-409C-BE32-E72D297353CC}">
                <c16:uniqueId val="{0000001D-CC53-4714-9E2B-2E9F4F6BA426}"/>
              </c:ext>
            </c:extLst>
          </c:dPt>
          <c:dPt>
            <c:idx val="57"/>
            <c:invertIfNegative val="0"/>
            <c:bubble3D val="0"/>
            <c:spPr>
              <a:solidFill>
                <a:srgbClr val="FF0000"/>
              </a:solidFill>
              <a:ln>
                <a:noFill/>
              </a:ln>
              <a:effectLst/>
            </c:spPr>
            <c:extLst>
              <c:ext xmlns:c16="http://schemas.microsoft.com/office/drawing/2014/chart" uri="{C3380CC4-5D6E-409C-BE32-E72D297353CC}">
                <c16:uniqueId val="{0000001F-CC53-4714-9E2B-2E9F4F6BA426}"/>
              </c:ext>
            </c:extLst>
          </c:dPt>
          <c:dPt>
            <c:idx val="58"/>
            <c:invertIfNegative val="0"/>
            <c:bubble3D val="0"/>
            <c:spPr>
              <a:solidFill>
                <a:srgbClr val="FF0000"/>
              </a:solidFill>
              <a:ln>
                <a:noFill/>
              </a:ln>
              <a:effectLst/>
            </c:spPr>
            <c:extLst>
              <c:ext xmlns:c16="http://schemas.microsoft.com/office/drawing/2014/chart" uri="{C3380CC4-5D6E-409C-BE32-E72D297353CC}">
                <c16:uniqueId val="{00000019-B631-4C17-86AA-B7671BA9F120}"/>
              </c:ext>
            </c:extLst>
          </c:dPt>
          <c:dPt>
            <c:idx val="59"/>
            <c:invertIfNegative val="0"/>
            <c:bubble3D val="0"/>
            <c:spPr>
              <a:solidFill>
                <a:srgbClr val="FF0000"/>
              </a:solidFill>
              <a:ln>
                <a:noFill/>
              </a:ln>
              <a:effectLst/>
            </c:spPr>
            <c:extLst>
              <c:ext xmlns:c16="http://schemas.microsoft.com/office/drawing/2014/chart" uri="{C3380CC4-5D6E-409C-BE32-E72D297353CC}">
                <c16:uniqueId val="{0000001B-B631-4C17-86AA-B7671BA9F120}"/>
              </c:ext>
            </c:extLst>
          </c:dPt>
          <c:dPt>
            <c:idx val="60"/>
            <c:invertIfNegative val="0"/>
            <c:bubble3D val="0"/>
            <c:spPr>
              <a:solidFill>
                <a:srgbClr val="FF0000"/>
              </a:solidFill>
              <a:ln>
                <a:noFill/>
              </a:ln>
              <a:effectLst/>
            </c:spPr>
            <c:extLst>
              <c:ext xmlns:c16="http://schemas.microsoft.com/office/drawing/2014/chart" uri="{C3380CC4-5D6E-409C-BE32-E72D297353CC}">
                <c16:uniqueId val="{0000001E-CC53-4714-9E2B-2E9F4F6BA426}"/>
              </c:ext>
            </c:extLst>
          </c:dPt>
          <c:cat>
            <c:strRef>
              <c:f>'ODA-GNI time series'!$A$13:$A$72</c:f>
              <c:strCache>
                <c:ptCount val="60"/>
                <c:pt idx="0">
                  <c:v>1962-63</c:v>
                </c:pt>
                <c:pt idx="1">
                  <c:v>1963-64</c:v>
                </c:pt>
                <c:pt idx="2">
                  <c:v>1964-65</c:v>
                </c:pt>
                <c:pt idx="3">
                  <c:v>1965-66</c:v>
                </c:pt>
                <c:pt idx="4">
                  <c:v>1966-67</c:v>
                </c:pt>
                <c:pt idx="5">
                  <c:v>1967-68</c:v>
                </c:pt>
                <c:pt idx="6">
                  <c:v>1968-69</c:v>
                </c:pt>
                <c:pt idx="7">
                  <c:v>1969-70</c:v>
                </c:pt>
                <c:pt idx="8">
                  <c:v>1970-71</c:v>
                </c:pt>
                <c:pt idx="9">
                  <c:v>1971-72</c:v>
                </c:pt>
                <c:pt idx="10">
                  <c:v>1972-73</c:v>
                </c:pt>
                <c:pt idx="11">
                  <c:v>1973-74</c:v>
                </c:pt>
                <c:pt idx="12">
                  <c:v>1974-75</c:v>
                </c:pt>
                <c:pt idx="13">
                  <c:v>1975-76</c:v>
                </c:pt>
                <c:pt idx="14">
                  <c:v>1976-77</c:v>
                </c:pt>
                <c:pt idx="15">
                  <c:v>1977-78</c:v>
                </c:pt>
                <c:pt idx="16">
                  <c:v>1978-79</c:v>
                </c:pt>
                <c:pt idx="17">
                  <c:v>1979-80</c:v>
                </c:pt>
                <c:pt idx="18">
                  <c:v>1980-81</c:v>
                </c:pt>
                <c:pt idx="19">
                  <c:v>1981-82</c:v>
                </c:pt>
                <c:pt idx="20">
                  <c:v>1982-83</c:v>
                </c:pt>
                <c:pt idx="21">
                  <c:v>1983-84</c:v>
                </c:pt>
                <c:pt idx="22">
                  <c:v>1984-85</c:v>
                </c:pt>
                <c:pt idx="23">
                  <c:v>1985-86</c:v>
                </c:pt>
                <c:pt idx="24">
                  <c:v>1986-87</c:v>
                </c:pt>
                <c:pt idx="25">
                  <c:v>1987-88</c:v>
                </c:pt>
                <c:pt idx="26">
                  <c:v>1988-89</c:v>
                </c:pt>
                <c:pt idx="27">
                  <c:v>1989-90</c:v>
                </c:pt>
                <c:pt idx="28">
                  <c:v>1990-91</c:v>
                </c:pt>
                <c:pt idx="29">
                  <c:v>1991-92</c:v>
                </c:pt>
                <c:pt idx="30">
                  <c:v>1992-93</c:v>
                </c:pt>
                <c:pt idx="31">
                  <c:v>1993-94</c:v>
                </c:pt>
                <c:pt idx="32">
                  <c:v>1994-95</c:v>
                </c:pt>
                <c:pt idx="33">
                  <c:v>1995-96</c:v>
                </c:pt>
                <c:pt idx="34">
                  <c:v>1996-97</c:v>
                </c:pt>
                <c:pt idx="35">
                  <c:v>1997-98</c:v>
                </c:pt>
                <c:pt idx="36">
                  <c:v>1998-99</c:v>
                </c:pt>
                <c:pt idx="37">
                  <c:v>1999-00</c:v>
                </c:pt>
                <c:pt idx="38">
                  <c:v>2000-01</c:v>
                </c:pt>
                <c:pt idx="39">
                  <c:v>2001-02</c:v>
                </c:pt>
                <c:pt idx="40">
                  <c:v>2002-03</c:v>
                </c:pt>
                <c:pt idx="41">
                  <c:v>2003-04</c:v>
                </c:pt>
                <c:pt idx="42">
                  <c:v>2004-05</c:v>
                </c:pt>
                <c:pt idx="43">
                  <c:v>2005-06</c:v>
                </c:pt>
                <c:pt idx="44">
                  <c:v>2006-07</c:v>
                </c:pt>
                <c:pt idx="45">
                  <c:v>2007-08</c:v>
                </c:pt>
                <c:pt idx="46">
                  <c:v>2008-09</c:v>
                </c:pt>
                <c:pt idx="47">
                  <c:v>2009-10</c:v>
                </c:pt>
                <c:pt idx="48">
                  <c:v>2010-11</c:v>
                </c:pt>
                <c:pt idx="49">
                  <c:v>2011-12</c:v>
                </c:pt>
                <c:pt idx="50">
                  <c:v>2012-13</c:v>
                </c:pt>
                <c:pt idx="51">
                  <c:v>2013-14</c:v>
                </c:pt>
                <c:pt idx="52">
                  <c:v>2014-15</c:v>
                </c:pt>
                <c:pt idx="53">
                  <c:v>2015-16</c:v>
                </c:pt>
                <c:pt idx="54">
                  <c:v>2016-17</c:v>
                </c:pt>
                <c:pt idx="55">
                  <c:v>2017-18</c:v>
                </c:pt>
                <c:pt idx="56">
                  <c:v>2018-19</c:v>
                </c:pt>
                <c:pt idx="57">
                  <c:v>2019-20</c:v>
                </c:pt>
                <c:pt idx="58">
                  <c:v>2020-21</c:v>
                </c:pt>
                <c:pt idx="59">
                  <c:v>2021-22</c:v>
                </c:pt>
              </c:strCache>
            </c:strRef>
          </c:cat>
          <c:val>
            <c:numRef>
              <c:f>'ODA-GNI time series'!$K$13:$K$72</c:f>
              <c:numCache>
                <c:formatCode>#,##0.00</c:formatCode>
                <c:ptCount val="60"/>
                <c:pt idx="0">
                  <c:v>162.82054038461536</c:v>
                </c:pt>
                <c:pt idx="1">
                  <c:v>130.9965256730768</c:v>
                </c:pt>
                <c:pt idx="2">
                  <c:v>91.167375784337537</c:v>
                </c:pt>
                <c:pt idx="3">
                  <c:v>105.80348208543023</c:v>
                </c:pt>
                <c:pt idx="4">
                  <c:v>175.50632469708626</c:v>
                </c:pt>
                <c:pt idx="5">
                  <c:v>159.07055976721222</c:v>
                </c:pt>
                <c:pt idx="6">
                  <c:v>66.040173145721155</c:v>
                </c:pt>
                <c:pt idx="7">
                  <c:v>133.83460759392437</c:v>
                </c:pt>
                <c:pt idx="8">
                  <c:v>27.521455676288269</c:v>
                </c:pt>
                <c:pt idx="9">
                  <c:v>123.64791378440395</c:v>
                </c:pt>
                <c:pt idx="10">
                  <c:v>20.986842868137956</c:v>
                </c:pt>
                <c:pt idx="11">
                  <c:v>120.75982184745817</c:v>
                </c:pt>
                <c:pt idx="12">
                  <c:v>179.53103665822846</c:v>
                </c:pt>
                <c:pt idx="13">
                  <c:v>-122.86915409890617</c:v>
                </c:pt>
                <c:pt idx="14">
                  <c:v>-103.80104326081528</c:v>
                </c:pt>
                <c:pt idx="15">
                  <c:v>48.723483457254133</c:v>
                </c:pt>
                <c:pt idx="16">
                  <c:v>24.420132939153973</c:v>
                </c:pt>
                <c:pt idx="17">
                  <c:v>-49.810227324685911</c:v>
                </c:pt>
                <c:pt idx="18">
                  <c:v>67.421940629771143</c:v>
                </c:pt>
                <c:pt idx="19">
                  <c:v>102.62627999999995</c:v>
                </c:pt>
                <c:pt idx="20">
                  <c:v>94.622626967930046</c:v>
                </c:pt>
                <c:pt idx="21">
                  <c:v>449.16978388371854</c:v>
                </c:pt>
                <c:pt idx="22">
                  <c:v>54.054272155955459</c:v>
                </c:pt>
                <c:pt idx="23">
                  <c:v>-182.26022142423153</c:v>
                </c:pt>
                <c:pt idx="24">
                  <c:v>-378.62315273467675</c:v>
                </c:pt>
                <c:pt idx="25">
                  <c:v>-60.993835178005611</c:v>
                </c:pt>
                <c:pt idx="26">
                  <c:v>214.67844692147901</c:v>
                </c:pt>
                <c:pt idx="27">
                  <c:v>-228.97146720985756</c:v>
                </c:pt>
                <c:pt idx="28">
                  <c:v>94.280960644807237</c:v>
                </c:pt>
                <c:pt idx="29">
                  <c:v>104.93699928267961</c:v>
                </c:pt>
                <c:pt idx="30">
                  <c:v>59.571690932389174</c:v>
                </c:pt>
                <c:pt idx="31">
                  <c:v>-0.76151751399629575</c:v>
                </c:pt>
                <c:pt idx="32">
                  <c:v>18.465312927140531</c:v>
                </c:pt>
                <c:pt idx="33">
                  <c:v>62.810131005088351</c:v>
                </c:pt>
                <c:pt idx="34">
                  <c:v>-240.77740688889617</c:v>
                </c:pt>
                <c:pt idx="35">
                  <c:v>0.41768442580496412</c:v>
                </c:pt>
                <c:pt idx="36">
                  <c:v>123.77922464408084</c:v>
                </c:pt>
                <c:pt idx="37">
                  <c:v>285.87717199897543</c:v>
                </c:pt>
                <c:pt idx="38">
                  <c:v>-342.15657603937962</c:v>
                </c:pt>
                <c:pt idx="39">
                  <c:v>121.66885380310714</c:v>
                </c:pt>
                <c:pt idx="40">
                  <c:v>42.27042762241399</c:v>
                </c:pt>
                <c:pt idx="41">
                  <c:v>141.68671052477566</c:v>
                </c:pt>
                <c:pt idx="42">
                  <c:v>245.08168267569499</c:v>
                </c:pt>
                <c:pt idx="43">
                  <c:v>429.58994943263178</c:v>
                </c:pt>
                <c:pt idx="44">
                  <c:v>270.73791815595587</c:v>
                </c:pt>
                <c:pt idx="45">
                  <c:v>49.772650802147382</c:v>
                </c:pt>
                <c:pt idx="46">
                  <c:v>769.06795724974108</c:v>
                </c:pt>
                <c:pt idx="47">
                  <c:v>-14.158886382964738</c:v>
                </c:pt>
                <c:pt idx="48">
                  <c:v>362.05288170827316</c:v>
                </c:pt>
                <c:pt idx="49">
                  <c:v>521.88368410505518</c:v>
                </c:pt>
                <c:pt idx="50">
                  <c:v>-25.210429842138183</c:v>
                </c:pt>
                <c:pt idx="51">
                  <c:v>53.014284514241808</c:v>
                </c:pt>
                <c:pt idx="52">
                  <c:v>-79.285646523661853</c:v>
                </c:pt>
                <c:pt idx="53">
                  <c:v>-952.80688791160992</c:v>
                </c:pt>
                <c:pt idx="54">
                  <c:v>-268.43274523466789</c:v>
                </c:pt>
                <c:pt idx="55">
                  <c:v>-38.037613500001498</c:v>
                </c:pt>
                <c:pt idx="56">
                  <c:v>-7.7325000000000728</c:v>
                </c:pt>
                <c:pt idx="57">
                  <c:v>-92.707317073170088</c:v>
                </c:pt>
                <c:pt idx="58">
                  <c:v>-261.03509815585949</c:v>
                </c:pt>
                <c:pt idx="59">
                  <c:v>-92.859941091974633</c:v>
                </c:pt>
              </c:numCache>
            </c:numRef>
          </c:val>
          <c:extLst>
            <c:ext xmlns:c16="http://schemas.microsoft.com/office/drawing/2014/chart" uri="{C3380CC4-5D6E-409C-BE32-E72D297353CC}">
              <c16:uniqueId val="{0000001C-B631-4C17-86AA-B7671BA9F120}"/>
            </c:ext>
          </c:extLst>
        </c:ser>
        <c:dLbls>
          <c:showLegendKey val="0"/>
          <c:showVal val="0"/>
          <c:showCatName val="0"/>
          <c:showSerName val="0"/>
          <c:showPercent val="0"/>
          <c:showBubbleSize val="0"/>
        </c:dLbls>
        <c:gapWidth val="150"/>
        <c:axId val="205776512"/>
        <c:axId val="205776904"/>
      </c:barChart>
      <c:catAx>
        <c:axId val="2057765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05776904"/>
        <c:crossesAt val="0"/>
        <c:auto val="1"/>
        <c:lblAlgn val="ctr"/>
        <c:lblOffset val="100"/>
        <c:noMultiLvlLbl val="0"/>
      </c:catAx>
      <c:valAx>
        <c:axId val="205776904"/>
        <c:scaling>
          <c:orientation val="minMax"/>
          <c:max val="600"/>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AUD -</a:t>
                </a:r>
                <a:r>
                  <a:rPr lang="en-US" sz="1400" baseline="0"/>
                  <a:t> Million (2018-19 prices)</a:t>
                </a:r>
                <a:endParaRPr lang="en-US" sz="1400"/>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057765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AU" sz="1800"/>
              <a:t>Annual aid cuts (after</a:t>
            </a:r>
            <a:r>
              <a:rPr lang="en-AU" sz="1800" baseline="0"/>
              <a:t> inflation)</a:t>
            </a:r>
            <a:endParaRPr lang="en-AU"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FF0000"/>
            </a:solidFill>
            <a:ln>
              <a:noFill/>
            </a:ln>
            <a:effectLst/>
          </c:spPr>
          <c:invertIfNegative val="0"/>
          <c:dPt>
            <c:idx val="13"/>
            <c:invertIfNegative val="0"/>
            <c:bubble3D val="0"/>
            <c:spPr>
              <a:solidFill>
                <a:srgbClr val="FF0000"/>
              </a:solidFill>
              <a:ln>
                <a:noFill/>
              </a:ln>
              <a:effectLst/>
            </c:spPr>
            <c:extLst>
              <c:ext xmlns:c16="http://schemas.microsoft.com/office/drawing/2014/chart" uri="{C3380CC4-5D6E-409C-BE32-E72D297353CC}">
                <c16:uniqueId val="{00000001-81C6-47CF-B62C-06E19DB0FE51}"/>
              </c:ext>
            </c:extLst>
          </c:dPt>
          <c:dPt>
            <c:idx val="14"/>
            <c:invertIfNegative val="0"/>
            <c:bubble3D val="0"/>
            <c:spPr>
              <a:solidFill>
                <a:srgbClr val="FF0000"/>
              </a:solidFill>
              <a:ln>
                <a:noFill/>
              </a:ln>
              <a:effectLst/>
            </c:spPr>
            <c:extLst>
              <c:ext xmlns:c16="http://schemas.microsoft.com/office/drawing/2014/chart" uri="{C3380CC4-5D6E-409C-BE32-E72D297353CC}">
                <c16:uniqueId val="{00000003-81C6-47CF-B62C-06E19DB0FE51}"/>
              </c:ext>
            </c:extLst>
          </c:dPt>
          <c:dPt>
            <c:idx val="15"/>
            <c:invertIfNegative val="0"/>
            <c:bubble3D val="0"/>
            <c:spPr>
              <a:solidFill>
                <a:srgbClr val="FF0000"/>
              </a:solidFill>
              <a:ln>
                <a:noFill/>
              </a:ln>
              <a:effectLst/>
            </c:spPr>
            <c:extLst>
              <c:ext xmlns:c16="http://schemas.microsoft.com/office/drawing/2014/chart" uri="{C3380CC4-5D6E-409C-BE32-E72D297353CC}">
                <c16:uniqueId val="{00000005-81C6-47CF-B62C-06E19DB0FE51}"/>
              </c:ext>
            </c:extLst>
          </c:dPt>
          <c:dPt>
            <c:idx val="23"/>
            <c:invertIfNegative val="0"/>
            <c:bubble3D val="0"/>
            <c:spPr>
              <a:solidFill>
                <a:srgbClr val="FF0000"/>
              </a:solidFill>
              <a:ln>
                <a:noFill/>
              </a:ln>
              <a:effectLst/>
            </c:spPr>
            <c:extLst>
              <c:ext xmlns:c16="http://schemas.microsoft.com/office/drawing/2014/chart" uri="{C3380CC4-5D6E-409C-BE32-E72D297353CC}">
                <c16:uniqueId val="{00000007-81C6-47CF-B62C-06E19DB0FE51}"/>
              </c:ext>
            </c:extLst>
          </c:dPt>
          <c:dPt>
            <c:idx val="24"/>
            <c:invertIfNegative val="0"/>
            <c:bubble3D val="0"/>
            <c:spPr>
              <a:solidFill>
                <a:srgbClr val="FF0000"/>
              </a:solidFill>
              <a:ln>
                <a:noFill/>
              </a:ln>
              <a:effectLst/>
            </c:spPr>
            <c:extLst>
              <c:ext xmlns:c16="http://schemas.microsoft.com/office/drawing/2014/chart" uri="{C3380CC4-5D6E-409C-BE32-E72D297353CC}">
                <c16:uniqueId val="{00000009-81C6-47CF-B62C-06E19DB0FE51}"/>
              </c:ext>
            </c:extLst>
          </c:dPt>
          <c:dPt>
            <c:idx val="25"/>
            <c:invertIfNegative val="0"/>
            <c:bubble3D val="0"/>
            <c:spPr>
              <a:solidFill>
                <a:srgbClr val="FF0000"/>
              </a:solidFill>
              <a:ln>
                <a:solidFill>
                  <a:srgbClr val="FF0000"/>
                </a:solidFill>
              </a:ln>
              <a:effectLst/>
            </c:spPr>
            <c:extLst>
              <c:ext xmlns:c16="http://schemas.microsoft.com/office/drawing/2014/chart" uri="{C3380CC4-5D6E-409C-BE32-E72D297353CC}">
                <c16:uniqueId val="{0000000B-81C6-47CF-B62C-06E19DB0FE51}"/>
              </c:ext>
            </c:extLst>
          </c:dPt>
          <c:dPt>
            <c:idx val="26"/>
            <c:invertIfNegative val="0"/>
            <c:bubble3D val="0"/>
            <c:spPr>
              <a:solidFill>
                <a:srgbClr val="FF0000"/>
              </a:solidFill>
              <a:ln>
                <a:noFill/>
              </a:ln>
              <a:effectLst/>
            </c:spPr>
            <c:extLst>
              <c:ext xmlns:c16="http://schemas.microsoft.com/office/drawing/2014/chart" uri="{C3380CC4-5D6E-409C-BE32-E72D297353CC}">
                <c16:uniqueId val="{0000000D-81C6-47CF-B62C-06E19DB0FE51}"/>
              </c:ext>
            </c:extLst>
          </c:dPt>
          <c:dPt>
            <c:idx val="27"/>
            <c:invertIfNegative val="0"/>
            <c:bubble3D val="0"/>
            <c:spPr>
              <a:solidFill>
                <a:srgbClr val="FF0000"/>
              </a:solidFill>
              <a:ln>
                <a:noFill/>
              </a:ln>
              <a:effectLst/>
            </c:spPr>
            <c:extLst>
              <c:ext xmlns:c16="http://schemas.microsoft.com/office/drawing/2014/chart" uri="{C3380CC4-5D6E-409C-BE32-E72D297353CC}">
                <c16:uniqueId val="{0000000F-81C6-47CF-B62C-06E19DB0FE51}"/>
              </c:ext>
            </c:extLst>
          </c:dPt>
          <c:dPt>
            <c:idx val="28"/>
            <c:invertIfNegative val="0"/>
            <c:bubble3D val="0"/>
            <c:spPr>
              <a:solidFill>
                <a:srgbClr val="FF0000"/>
              </a:solidFill>
              <a:ln>
                <a:noFill/>
              </a:ln>
              <a:effectLst/>
            </c:spPr>
            <c:extLst>
              <c:ext xmlns:c16="http://schemas.microsoft.com/office/drawing/2014/chart" uri="{C3380CC4-5D6E-409C-BE32-E72D297353CC}">
                <c16:uniqueId val="{00000011-81C6-47CF-B62C-06E19DB0FE51}"/>
              </c:ext>
            </c:extLst>
          </c:dPt>
          <c:dPt>
            <c:idx val="34"/>
            <c:invertIfNegative val="0"/>
            <c:bubble3D val="0"/>
            <c:spPr>
              <a:solidFill>
                <a:srgbClr val="FF0000"/>
              </a:solidFill>
              <a:ln>
                <a:noFill/>
              </a:ln>
              <a:effectLst/>
            </c:spPr>
            <c:extLst>
              <c:ext xmlns:c16="http://schemas.microsoft.com/office/drawing/2014/chart" uri="{C3380CC4-5D6E-409C-BE32-E72D297353CC}">
                <c16:uniqueId val="{00000013-81C6-47CF-B62C-06E19DB0FE51}"/>
              </c:ext>
            </c:extLst>
          </c:dPt>
          <c:dPt>
            <c:idx val="35"/>
            <c:invertIfNegative val="0"/>
            <c:bubble3D val="0"/>
            <c:spPr>
              <a:solidFill>
                <a:srgbClr val="FF0000"/>
              </a:solidFill>
              <a:ln>
                <a:noFill/>
              </a:ln>
              <a:effectLst/>
            </c:spPr>
            <c:extLst>
              <c:ext xmlns:c16="http://schemas.microsoft.com/office/drawing/2014/chart" uri="{C3380CC4-5D6E-409C-BE32-E72D297353CC}">
                <c16:uniqueId val="{00000015-81C6-47CF-B62C-06E19DB0FE51}"/>
              </c:ext>
            </c:extLst>
          </c:dPt>
          <c:dPt>
            <c:idx val="38"/>
            <c:invertIfNegative val="0"/>
            <c:bubble3D val="0"/>
            <c:spPr>
              <a:solidFill>
                <a:srgbClr val="FF0000"/>
              </a:solidFill>
              <a:ln>
                <a:noFill/>
              </a:ln>
              <a:effectLst/>
            </c:spPr>
            <c:extLst>
              <c:ext xmlns:c16="http://schemas.microsoft.com/office/drawing/2014/chart" uri="{C3380CC4-5D6E-409C-BE32-E72D297353CC}">
                <c16:uniqueId val="{00000017-81C6-47CF-B62C-06E19DB0FE51}"/>
              </c:ext>
            </c:extLst>
          </c:dPt>
          <c:dPt>
            <c:idx val="39"/>
            <c:invertIfNegative val="0"/>
            <c:bubble3D val="0"/>
            <c:spPr>
              <a:solidFill>
                <a:srgbClr val="FF0000"/>
              </a:solidFill>
              <a:ln>
                <a:noFill/>
              </a:ln>
              <a:effectLst/>
            </c:spPr>
            <c:extLst>
              <c:ext xmlns:c16="http://schemas.microsoft.com/office/drawing/2014/chart" uri="{C3380CC4-5D6E-409C-BE32-E72D297353CC}">
                <c16:uniqueId val="{00000019-81C6-47CF-B62C-06E19DB0FE51}"/>
              </c:ext>
            </c:extLst>
          </c:dPt>
          <c:dPt>
            <c:idx val="50"/>
            <c:invertIfNegative val="0"/>
            <c:bubble3D val="0"/>
            <c:spPr>
              <a:solidFill>
                <a:srgbClr val="FF0000"/>
              </a:solidFill>
              <a:ln>
                <a:noFill/>
              </a:ln>
              <a:effectLst/>
            </c:spPr>
            <c:extLst>
              <c:ext xmlns:c16="http://schemas.microsoft.com/office/drawing/2014/chart" uri="{C3380CC4-5D6E-409C-BE32-E72D297353CC}">
                <c16:uniqueId val="{0000001B-81C6-47CF-B62C-06E19DB0FE51}"/>
              </c:ext>
            </c:extLst>
          </c:dPt>
          <c:dPt>
            <c:idx val="51"/>
            <c:invertIfNegative val="0"/>
            <c:bubble3D val="0"/>
            <c:spPr>
              <a:solidFill>
                <a:srgbClr val="FF0000"/>
              </a:solidFill>
              <a:ln>
                <a:noFill/>
              </a:ln>
              <a:effectLst/>
            </c:spPr>
            <c:extLst>
              <c:ext xmlns:c16="http://schemas.microsoft.com/office/drawing/2014/chart" uri="{C3380CC4-5D6E-409C-BE32-E72D297353CC}">
                <c16:uniqueId val="{0000001D-81C6-47CF-B62C-06E19DB0FE51}"/>
              </c:ext>
            </c:extLst>
          </c:dPt>
          <c:dPt>
            <c:idx val="52"/>
            <c:invertIfNegative val="0"/>
            <c:bubble3D val="0"/>
            <c:spPr>
              <a:solidFill>
                <a:srgbClr val="FF0000"/>
              </a:solidFill>
              <a:ln>
                <a:noFill/>
              </a:ln>
              <a:effectLst/>
            </c:spPr>
            <c:extLst>
              <c:ext xmlns:c16="http://schemas.microsoft.com/office/drawing/2014/chart" uri="{C3380CC4-5D6E-409C-BE32-E72D297353CC}">
                <c16:uniqueId val="{0000001F-81C6-47CF-B62C-06E19DB0FE51}"/>
              </c:ext>
            </c:extLst>
          </c:dPt>
          <c:dPt>
            <c:idx val="53"/>
            <c:invertIfNegative val="0"/>
            <c:bubble3D val="0"/>
            <c:spPr>
              <a:solidFill>
                <a:srgbClr val="FF0000"/>
              </a:solidFill>
              <a:ln>
                <a:noFill/>
              </a:ln>
              <a:effectLst/>
            </c:spPr>
            <c:extLst>
              <c:ext xmlns:c16="http://schemas.microsoft.com/office/drawing/2014/chart" uri="{C3380CC4-5D6E-409C-BE32-E72D297353CC}">
                <c16:uniqueId val="{00000021-81C6-47CF-B62C-06E19DB0FE51}"/>
              </c:ext>
            </c:extLst>
          </c:dPt>
          <c:dPt>
            <c:idx val="54"/>
            <c:invertIfNegative val="0"/>
            <c:bubble3D val="0"/>
            <c:spPr>
              <a:solidFill>
                <a:srgbClr val="FF0000"/>
              </a:solidFill>
              <a:ln>
                <a:noFill/>
              </a:ln>
              <a:effectLst/>
            </c:spPr>
            <c:extLst>
              <c:ext xmlns:c16="http://schemas.microsoft.com/office/drawing/2014/chart" uri="{C3380CC4-5D6E-409C-BE32-E72D297353CC}">
                <c16:uniqueId val="{00000023-81C6-47CF-B62C-06E19DB0FE51}"/>
              </c:ext>
            </c:extLst>
          </c:dPt>
          <c:dPt>
            <c:idx val="55"/>
            <c:invertIfNegative val="0"/>
            <c:bubble3D val="0"/>
            <c:spPr>
              <a:solidFill>
                <a:srgbClr val="FF0000"/>
              </a:solidFill>
              <a:ln>
                <a:noFill/>
              </a:ln>
              <a:effectLst/>
            </c:spPr>
            <c:extLst>
              <c:ext xmlns:c16="http://schemas.microsoft.com/office/drawing/2014/chart" uri="{C3380CC4-5D6E-409C-BE32-E72D297353CC}">
                <c16:uniqueId val="{00000025-81C6-47CF-B62C-06E19DB0FE51}"/>
              </c:ext>
            </c:extLst>
          </c:dPt>
          <c:dPt>
            <c:idx val="56"/>
            <c:invertIfNegative val="0"/>
            <c:bubble3D val="0"/>
            <c:spPr>
              <a:solidFill>
                <a:srgbClr val="FF0000"/>
              </a:solidFill>
              <a:ln>
                <a:noFill/>
              </a:ln>
              <a:effectLst/>
            </c:spPr>
            <c:extLst>
              <c:ext xmlns:c16="http://schemas.microsoft.com/office/drawing/2014/chart" uri="{C3380CC4-5D6E-409C-BE32-E72D297353CC}">
                <c16:uniqueId val="{00000027-81C6-47CF-B62C-06E19DB0FE51}"/>
              </c:ext>
            </c:extLst>
          </c:dPt>
          <c:dPt>
            <c:idx val="57"/>
            <c:invertIfNegative val="0"/>
            <c:bubble3D val="0"/>
            <c:spPr>
              <a:solidFill>
                <a:srgbClr val="FF0000"/>
              </a:solidFill>
              <a:ln>
                <a:noFill/>
              </a:ln>
              <a:effectLst/>
            </c:spPr>
            <c:extLst>
              <c:ext xmlns:c16="http://schemas.microsoft.com/office/drawing/2014/chart" uri="{C3380CC4-5D6E-409C-BE32-E72D297353CC}">
                <c16:uniqueId val="{00000029-81C6-47CF-B62C-06E19DB0FE51}"/>
              </c:ext>
            </c:extLst>
          </c:dPt>
          <c:dPt>
            <c:idx val="58"/>
            <c:invertIfNegative val="0"/>
            <c:bubble3D val="0"/>
            <c:spPr>
              <a:solidFill>
                <a:srgbClr val="FF0000"/>
              </a:solidFill>
              <a:ln>
                <a:noFill/>
              </a:ln>
              <a:effectLst/>
            </c:spPr>
            <c:extLst>
              <c:ext xmlns:c16="http://schemas.microsoft.com/office/drawing/2014/chart" uri="{C3380CC4-5D6E-409C-BE32-E72D297353CC}">
                <c16:uniqueId val="{0000002B-81C6-47CF-B62C-06E19DB0FE51}"/>
              </c:ext>
            </c:extLst>
          </c:dPt>
          <c:dPt>
            <c:idx val="59"/>
            <c:invertIfNegative val="0"/>
            <c:bubble3D val="0"/>
            <c:spPr>
              <a:solidFill>
                <a:srgbClr val="FF0000"/>
              </a:solidFill>
              <a:ln>
                <a:noFill/>
              </a:ln>
              <a:effectLst/>
            </c:spPr>
            <c:extLst>
              <c:ext xmlns:c16="http://schemas.microsoft.com/office/drawing/2014/chart" uri="{C3380CC4-5D6E-409C-BE32-E72D297353CC}">
                <c16:uniqueId val="{0000002D-81C6-47CF-B62C-06E19DB0FE51}"/>
              </c:ext>
            </c:extLst>
          </c:dPt>
          <c:dPt>
            <c:idx val="60"/>
            <c:invertIfNegative val="0"/>
            <c:bubble3D val="0"/>
            <c:spPr>
              <a:solidFill>
                <a:srgbClr val="FF0000"/>
              </a:solidFill>
              <a:ln>
                <a:noFill/>
              </a:ln>
              <a:effectLst/>
            </c:spPr>
            <c:extLst>
              <c:ext xmlns:c16="http://schemas.microsoft.com/office/drawing/2014/chart" uri="{C3380CC4-5D6E-409C-BE32-E72D297353CC}">
                <c16:uniqueId val="{0000002F-81C6-47CF-B62C-06E19DB0FE51}"/>
              </c:ext>
            </c:extLst>
          </c:dPt>
          <c:cat>
            <c:strRef>
              <c:f>'ODA gr'!$R$61:$R$68</c:f>
              <c:strCache>
                <c:ptCount val="8"/>
                <c:pt idx="0">
                  <c:v>2014-15</c:v>
                </c:pt>
                <c:pt idx="1">
                  <c:v>2015-16</c:v>
                </c:pt>
                <c:pt idx="2">
                  <c:v>2016-17</c:v>
                </c:pt>
                <c:pt idx="3">
                  <c:v>2017-18</c:v>
                </c:pt>
                <c:pt idx="4">
                  <c:v>2018-19</c:v>
                </c:pt>
                <c:pt idx="5">
                  <c:v>2019-20</c:v>
                </c:pt>
                <c:pt idx="6">
                  <c:v>2020-21</c:v>
                </c:pt>
                <c:pt idx="7">
                  <c:v>2021-22</c:v>
                </c:pt>
              </c:strCache>
            </c:strRef>
          </c:cat>
          <c:val>
            <c:numRef>
              <c:f>'ODA gr'!$S$61:$S$68</c:f>
              <c:numCache>
                <c:formatCode>#,##0.00</c:formatCode>
                <c:ptCount val="8"/>
                <c:pt idx="0">
                  <c:v>79.285646523661853</c:v>
                </c:pt>
                <c:pt idx="1">
                  <c:v>952.80688791160992</c:v>
                </c:pt>
                <c:pt idx="2">
                  <c:v>268.43274523466789</c:v>
                </c:pt>
                <c:pt idx="3">
                  <c:v>38.037613500001498</c:v>
                </c:pt>
                <c:pt idx="4">
                  <c:v>7.7325000000000728</c:v>
                </c:pt>
                <c:pt idx="5">
                  <c:v>92.707317073170088</c:v>
                </c:pt>
                <c:pt idx="6">
                  <c:v>261.03509815585949</c:v>
                </c:pt>
                <c:pt idx="7">
                  <c:v>92.859941091974633</c:v>
                </c:pt>
              </c:numCache>
            </c:numRef>
          </c:val>
          <c:extLst>
            <c:ext xmlns:c16="http://schemas.microsoft.com/office/drawing/2014/chart" uri="{C3380CC4-5D6E-409C-BE32-E72D297353CC}">
              <c16:uniqueId val="{00000030-81C6-47CF-B62C-06E19DB0FE51}"/>
            </c:ext>
          </c:extLst>
        </c:ser>
        <c:dLbls>
          <c:showLegendKey val="0"/>
          <c:showVal val="0"/>
          <c:showCatName val="0"/>
          <c:showSerName val="0"/>
          <c:showPercent val="0"/>
          <c:showBubbleSize val="0"/>
        </c:dLbls>
        <c:gapWidth val="150"/>
        <c:axId val="205776512"/>
        <c:axId val="205776904"/>
      </c:barChart>
      <c:catAx>
        <c:axId val="2057765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05776904"/>
        <c:crossesAt val="0"/>
        <c:auto val="1"/>
        <c:lblAlgn val="ctr"/>
        <c:lblOffset val="100"/>
        <c:noMultiLvlLbl val="0"/>
      </c:catAx>
      <c:valAx>
        <c:axId val="205776904"/>
        <c:scaling>
          <c:orientation val="minMax"/>
          <c:max val="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AUD -</a:t>
                </a:r>
                <a:r>
                  <a:rPr lang="en-US" sz="1400" baseline="0"/>
                  <a:t> Million (2018-19 prices)</a:t>
                </a:r>
                <a:endParaRPr lang="en-US" sz="1400"/>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057765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ODA</a:t>
            </a:r>
          </a:p>
        </c:rich>
      </c:tx>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0F92-4799-9BD9-3A14F4FF427A}"/>
              </c:ext>
            </c:extLst>
          </c:dPt>
          <c:cat>
            <c:strRef>
              <c:f>'2018-19 budget'!$A$3:$A$12</c:f>
              <c:strCache>
                <c:ptCount val="10"/>
                <c:pt idx="0">
                  <c:v>2012-13</c:v>
                </c:pt>
                <c:pt idx="1">
                  <c:v>2013-14</c:v>
                </c:pt>
                <c:pt idx="2">
                  <c:v>2014-15</c:v>
                </c:pt>
                <c:pt idx="3">
                  <c:v>2015-16</c:v>
                </c:pt>
                <c:pt idx="4">
                  <c:v>2016-17</c:v>
                </c:pt>
                <c:pt idx="5">
                  <c:v>2017-18</c:v>
                </c:pt>
                <c:pt idx="6">
                  <c:v>2018-19</c:v>
                </c:pt>
                <c:pt idx="7">
                  <c:v>2019-20</c:v>
                </c:pt>
                <c:pt idx="8">
                  <c:v>2020-21</c:v>
                </c:pt>
                <c:pt idx="9">
                  <c:v>2021-22</c:v>
                </c:pt>
              </c:strCache>
            </c:strRef>
          </c:cat>
          <c:val>
            <c:numRef>
              <c:f>'2018-19 budget'!$B$3:$B$12</c:f>
              <c:numCache>
                <c:formatCode>#,##0</c:formatCode>
                <c:ptCount val="10"/>
                <c:pt idx="0">
                  <c:v>4856.4567193147004</c:v>
                </c:pt>
                <c:pt idx="1">
                  <c:v>5051.5333208062984</c:v>
                </c:pt>
                <c:pt idx="2">
                  <c:v>5054.0318415688016</c:v>
                </c:pt>
                <c:pt idx="3">
                  <c:v>4209.509</c:v>
                </c:pt>
                <c:pt idx="4">
                  <c:v>4033.53</c:v>
                </c:pt>
                <c:pt idx="5">
                  <c:v>4077</c:v>
                </c:pt>
                <c:pt idx="6">
                  <c:v>4161</c:v>
                </c:pt>
                <c:pt idx="7">
                  <c:v>4170</c:v>
                </c:pt>
                <c:pt idx="8">
                  <c:v>4000</c:v>
                </c:pt>
                <c:pt idx="9">
                  <c:v>4000</c:v>
                </c:pt>
              </c:numCache>
            </c:numRef>
          </c:val>
          <c:extLst>
            <c:ext xmlns:c16="http://schemas.microsoft.com/office/drawing/2014/chart" uri="{C3380CC4-5D6E-409C-BE32-E72D297353CC}">
              <c16:uniqueId val="{00000002-0F92-4799-9BD9-3A14F4FF427A}"/>
            </c:ext>
          </c:extLst>
        </c:ser>
        <c:dLbls>
          <c:showLegendKey val="0"/>
          <c:showVal val="0"/>
          <c:showCatName val="0"/>
          <c:showSerName val="0"/>
          <c:showPercent val="0"/>
          <c:showBubbleSize val="0"/>
        </c:dLbls>
        <c:gapWidth val="219"/>
        <c:overlap val="-27"/>
        <c:axId val="366734960"/>
        <c:axId val="366735616"/>
      </c:barChart>
      <c:catAx>
        <c:axId val="36673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6735616"/>
        <c:crosses val="autoZero"/>
        <c:auto val="1"/>
        <c:lblAlgn val="ctr"/>
        <c:lblOffset val="100"/>
        <c:noMultiLvlLbl val="0"/>
      </c:catAx>
      <c:valAx>
        <c:axId val="366735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 million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673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AU" sz="1800"/>
              <a:t>Defence v aid (inflation-adjusted)</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860538493481361"/>
          <c:y val="0.10271695249073007"/>
          <c:w val="0.81080960476048503"/>
          <c:h val="0.77710899815329426"/>
        </c:manualLayout>
      </c:layout>
      <c:lineChart>
        <c:grouping val="standard"/>
        <c:varyColors val="0"/>
        <c:ser>
          <c:idx val="0"/>
          <c:order val="0"/>
          <c:tx>
            <c:strRef>
              <c:f>'aid-defence'!#REF!</c:f>
              <c:strCache>
                <c:ptCount val="1"/>
                <c:pt idx="0">
                  <c:v>Defence</c:v>
                </c:pt>
              </c:strCache>
            </c:strRef>
          </c:tx>
          <c:spPr>
            <a:ln w="28575" cap="rnd">
              <a:solidFill>
                <a:schemeClr val="accent1"/>
              </a:solidFill>
              <a:round/>
            </a:ln>
            <a:effectLst/>
          </c:spPr>
          <c:marker>
            <c:symbol val="none"/>
          </c:marker>
          <c:val>
            <c:numRef>
              <c:f>'aid-defence'!#REF!</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c:ext xmlns:c15="http://schemas.microsoft.com/office/drawing/2012/chart" uri="{02D57815-91ED-43cb-92C2-25804820EDAC}">
              <c15:filteredCategoryTitle>
                <c15:cat>
                  <c:strRef>
                    <c:extLst>
                      <c:ext uri="{02D57815-91ED-43cb-92C2-25804820EDAC}">
                        <c15:formulaRef>
                          <c15:sqref>'aid-defence'!#REF!</c15:sqref>
                        </c15:formulaRef>
                      </c:ext>
                    </c:extLst>
                    <c:strCache>
                      <c:ptCount val="10"/>
                      <c:pt idx="0">
                        <c:v>2012-13</c:v>
                      </c:pt>
                      <c:pt idx="1">
                        <c:v>2013-14 </c:v>
                      </c:pt>
                      <c:pt idx="2">
                        <c:v>2014-15</c:v>
                      </c:pt>
                      <c:pt idx="3">
                        <c:v>2015-16</c:v>
                      </c:pt>
                      <c:pt idx="4">
                        <c:v>2016-17</c:v>
                      </c:pt>
                      <c:pt idx="5">
                        <c:v>2017-18</c:v>
                      </c:pt>
                      <c:pt idx="6">
                        <c:v>2018-19</c:v>
                      </c:pt>
                      <c:pt idx="7">
                        <c:v>2019-20</c:v>
                      </c:pt>
                      <c:pt idx="8">
                        <c:v>2020-21</c:v>
                      </c:pt>
                      <c:pt idx="9">
                        <c:v>2021-22</c:v>
                      </c:pt>
                    </c:strCache>
                  </c:strRef>
                </c15:cat>
              </c15:filteredCategoryTitle>
            </c:ext>
            <c:ext xmlns:c16="http://schemas.microsoft.com/office/drawing/2014/chart" uri="{C3380CC4-5D6E-409C-BE32-E72D297353CC}">
              <c16:uniqueId val="{00000000-6C38-4385-BD70-AE18BE6C10E9}"/>
            </c:ext>
          </c:extLst>
        </c:ser>
        <c:dLbls>
          <c:showLegendKey val="0"/>
          <c:showVal val="0"/>
          <c:showCatName val="0"/>
          <c:showSerName val="0"/>
          <c:showPercent val="0"/>
          <c:showBubbleSize val="0"/>
        </c:dLbls>
        <c:marker val="1"/>
        <c:smooth val="0"/>
        <c:axId val="784008072"/>
        <c:axId val="784007432"/>
      </c:lineChart>
      <c:lineChart>
        <c:grouping val="standard"/>
        <c:varyColors val="0"/>
        <c:ser>
          <c:idx val="1"/>
          <c:order val="1"/>
          <c:tx>
            <c:strRef>
              <c:f>'aid-defence'!$BA$9</c:f>
              <c:strCache>
                <c:ptCount val="1"/>
                <c:pt idx="0">
                  <c:v>ODA</c:v>
                </c:pt>
              </c:strCache>
            </c:strRef>
          </c:tx>
          <c:spPr>
            <a:ln w="28575" cap="rnd">
              <a:solidFill>
                <a:schemeClr val="accent2"/>
              </a:solidFill>
              <a:round/>
            </a:ln>
            <a:effectLst/>
          </c:spPr>
          <c:marker>
            <c:symbol val="none"/>
          </c:marker>
          <c:val>
            <c:numRef>
              <c:f>'aid-defence'!$BB$9:$BK$9</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c:ext xmlns:c15="http://schemas.microsoft.com/office/drawing/2012/chart" uri="{02D57815-91ED-43cb-92C2-25804820EDAC}">
              <c15:filteredCategoryTitle>
                <c15:cat>
                  <c:strRef>
                    <c:extLst>
                      <c:ext uri="{02D57815-91ED-43cb-92C2-25804820EDAC}">
                        <c15:formulaRef>
                          <c15:sqref>'aid-defence'!#REF!</c15:sqref>
                        </c15:formulaRef>
                      </c:ext>
                    </c:extLst>
                    <c:strCache>
                      <c:ptCount val="10"/>
                      <c:pt idx="0">
                        <c:v>2012-13</c:v>
                      </c:pt>
                      <c:pt idx="1">
                        <c:v>2013-14 </c:v>
                      </c:pt>
                      <c:pt idx="2">
                        <c:v>2014-15</c:v>
                      </c:pt>
                      <c:pt idx="3">
                        <c:v>2015-16</c:v>
                      </c:pt>
                      <c:pt idx="4">
                        <c:v>2016-17</c:v>
                      </c:pt>
                      <c:pt idx="5">
                        <c:v>2017-18</c:v>
                      </c:pt>
                      <c:pt idx="6">
                        <c:v>2018-19</c:v>
                      </c:pt>
                      <c:pt idx="7">
                        <c:v>2019-20</c:v>
                      </c:pt>
                      <c:pt idx="8">
                        <c:v>2020-21</c:v>
                      </c:pt>
                      <c:pt idx="9">
                        <c:v>2021-22</c:v>
                      </c:pt>
                    </c:strCache>
                  </c:strRef>
                </c15:cat>
              </c15:filteredCategoryTitle>
            </c:ext>
            <c:ext xmlns:c16="http://schemas.microsoft.com/office/drawing/2014/chart" uri="{C3380CC4-5D6E-409C-BE32-E72D297353CC}">
              <c16:uniqueId val="{00000001-6C38-4385-BD70-AE18BE6C10E9}"/>
            </c:ext>
          </c:extLst>
        </c:ser>
        <c:dLbls>
          <c:showLegendKey val="0"/>
          <c:showVal val="0"/>
          <c:showCatName val="0"/>
          <c:showSerName val="0"/>
          <c:showPercent val="0"/>
          <c:showBubbleSize val="0"/>
        </c:dLbls>
        <c:marker val="1"/>
        <c:smooth val="0"/>
        <c:axId val="434524736"/>
        <c:axId val="434524080"/>
      </c:lineChart>
      <c:catAx>
        <c:axId val="784008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007432"/>
        <c:crosses val="autoZero"/>
        <c:auto val="1"/>
        <c:lblAlgn val="ctr"/>
        <c:lblOffset val="100"/>
        <c:noMultiLvlLbl val="0"/>
      </c:catAx>
      <c:valAx>
        <c:axId val="784007432"/>
        <c:scaling>
          <c:orientation val="minMax"/>
          <c:min val="2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008072"/>
        <c:crosses val="autoZero"/>
        <c:crossBetween val="between"/>
        <c:dispUnits>
          <c:builtInUnit val="thousand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AUD billion (2018 prices)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valAx>
        <c:axId val="434524080"/>
        <c:scaling>
          <c:orientation val="minMax"/>
          <c:min val="300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524736"/>
        <c:crosses val="max"/>
        <c:crossBetween val="between"/>
        <c:dispUnits>
          <c:builtInUnit val="thousands"/>
          <c:dispUnitsLbl>
            <c:layout>
              <c:manualLayout>
                <c:xMode val="edge"/>
                <c:yMode val="edge"/>
                <c:x val="0.93666239660835893"/>
                <c:y val="9.6718800377450745E-2"/>
              </c:manualLayout>
            </c:layout>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000" b="0" i="0" baseline="0">
                      <a:effectLst/>
                    </a:rPr>
                    <a:t>AUD billion (2018 prices)</a:t>
                  </a:r>
                  <a:endParaRPr lang="en-AU"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AU" sz="1000"/>
                </a:p>
              </c:rich>
            </c:tx>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dispUnitsLbl>
        </c:dispUnits>
      </c:valAx>
      <c:catAx>
        <c:axId val="434524736"/>
        <c:scaling>
          <c:orientation val="minMax"/>
        </c:scaling>
        <c:delete val="1"/>
        <c:axPos val="b"/>
        <c:numFmt formatCode="General" sourceLinked="1"/>
        <c:majorTickMark val="out"/>
        <c:minorTickMark val="none"/>
        <c:tickLblPos val="nextTo"/>
        <c:crossAx val="4345240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 of defence</a:t>
            </a:r>
            <a:r>
              <a:rPr lang="en-AU" baseline="0"/>
              <a:t> per $ of aid</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'aid-defence'!$F$7</c:f>
              <c:strCache>
                <c:ptCount val="1"/>
                <c:pt idx="0">
                  <c:v>Using WB defence data </c:v>
                </c:pt>
              </c:strCache>
            </c:strRef>
          </c:tx>
          <c:spPr>
            <a:ln w="28575" cap="rnd">
              <a:solidFill>
                <a:schemeClr val="accent1"/>
              </a:solidFill>
              <a:round/>
            </a:ln>
            <a:effectLst/>
          </c:spPr>
          <c:marker>
            <c:symbol val="none"/>
          </c:marker>
          <c:cat>
            <c:strRef>
              <c:f>'aid-defence'!$E$9:$E$69</c:f>
              <c:strCache>
                <c:ptCount val="61"/>
                <c:pt idx="0">
                  <c:v>1961-62</c:v>
                </c:pt>
                <c:pt idx="1">
                  <c:v>1962-63</c:v>
                </c:pt>
                <c:pt idx="2">
                  <c:v>1963-64</c:v>
                </c:pt>
                <c:pt idx="3">
                  <c:v>1964-65</c:v>
                </c:pt>
                <c:pt idx="4">
                  <c:v>1965-66</c:v>
                </c:pt>
                <c:pt idx="5">
                  <c:v>1966-67</c:v>
                </c:pt>
                <c:pt idx="6">
                  <c:v>1967-68</c:v>
                </c:pt>
                <c:pt idx="7">
                  <c:v>1968-69</c:v>
                </c:pt>
                <c:pt idx="8">
                  <c:v>1969-70</c:v>
                </c:pt>
                <c:pt idx="9">
                  <c:v>1970-71</c:v>
                </c:pt>
                <c:pt idx="10">
                  <c:v>1971-72</c:v>
                </c:pt>
                <c:pt idx="11">
                  <c:v>1972-73</c:v>
                </c:pt>
                <c:pt idx="12">
                  <c:v>1973-74</c:v>
                </c:pt>
                <c:pt idx="13">
                  <c:v>1974-75</c:v>
                </c:pt>
                <c:pt idx="14">
                  <c:v>1975-76</c:v>
                </c:pt>
                <c:pt idx="15">
                  <c:v>1976-77</c:v>
                </c:pt>
                <c:pt idx="16">
                  <c:v>1977-78</c:v>
                </c:pt>
                <c:pt idx="17">
                  <c:v>1978-79</c:v>
                </c:pt>
                <c:pt idx="18">
                  <c:v>1979-80</c:v>
                </c:pt>
                <c:pt idx="19">
                  <c:v>1980-81</c:v>
                </c:pt>
                <c:pt idx="20">
                  <c:v>1981-82</c:v>
                </c:pt>
                <c:pt idx="21">
                  <c:v>1982-83</c:v>
                </c:pt>
                <c:pt idx="22">
                  <c:v>1983-84</c:v>
                </c:pt>
                <c:pt idx="23">
                  <c:v>1984-85</c:v>
                </c:pt>
                <c:pt idx="24">
                  <c:v>1985-86</c:v>
                </c:pt>
                <c:pt idx="25">
                  <c:v>1986-87</c:v>
                </c:pt>
                <c:pt idx="26">
                  <c:v>1987-88</c:v>
                </c:pt>
                <c:pt idx="27">
                  <c:v>1988-89</c:v>
                </c:pt>
                <c:pt idx="28">
                  <c:v>1989-90</c:v>
                </c:pt>
                <c:pt idx="29">
                  <c:v>1990-91</c:v>
                </c:pt>
                <c:pt idx="30">
                  <c:v>1991-92</c:v>
                </c:pt>
                <c:pt idx="31">
                  <c:v>1992-93</c:v>
                </c:pt>
                <c:pt idx="32">
                  <c:v>1993-94</c:v>
                </c:pt>
                <c:pt idx="33">
                  <c:v>1994-95</c:v>
                </c:pt>
                <c:pt idx="34">
                  <c:v>1995-96</c:v>
                </c:pt>
                <c:pt idx="35">
                  <c:v>1996-97</c:v>
                </c:pt>
                <c:pt idx="36">
                  <c:v>1997-98</c:v>
                </c:pt>
                <c:pt idx="37">
                  <c:v>1998-99</c:v>
                </c:pt>
                <c:pt idx="38">
                  <c:v>1999-00</c:v>
                </c:pt>
                <c:pt idx="39">
                  <c:v>2000-01</c:v>
                </c:pt>
                <c:pt idx="40">
                  <c:v>2001-02</c:v>
                </c:pt>
                <c:pt idx="41">
                  <c:v>2002-03</c:v>
                </c:pt>
                <c:pt idx="42">
                  <c:v>2003-04</c:v>
                </c:pt>
                <c:pt idx="43">
                  <c:v>2004-05</c:v>
                </c:pt>
                <c:pt idx="44">
                  <c:v>2005-06</c:v>
                </c:pt>
                <c:pt idx="45">
                  <c:v>2006-07</c:v>
                </c:pt>
                <c:pt idx="46">
                  <c:v>2007-08</c:v>
                </c:pt>
                <c:pt idx="47">
                  <c:v>2008-09</c:v>
                </c:pt>
                <c:pt idx="48">
                  <c:v>2009-10</c:v>
                </c:pt>
                <c:pt idx="49">
                  <c:v>2010-11</c:v>
                </c:pt>
                <c:pt idx="50">
                  <c:v>2011-12</c:v>
                </c:pt>
                <c:pt idx="51">
                  <c:v>2012-13</c:v>
                </c:pt>
                <c:pt idx="52">
                  <c:v>2013-14</c:v>
                </c:pt>
                <c:pt idx="53">
                  <c:v>2014-15</c:v>
                </c:pt>
                <c:pt idx="54">
                  <c:v>2015-16</c:v>
                </c:pt>
                <c:pt idx="55">
                  <c:v>2016-17</c:v>
                </c:pt>
                <c:pt idx="56">
                  <c:v>2017-18</c:v>
                </c:pt>
                <c:pt idx="57">
                  <c:v>2018-19</c:v>
                </c:pt>
                <c:pt idx="58">
                  <c:v>2019-20</c:v>
                </c:pt>
                <c:pt idx="59">
                  <c:v>2020-21</c:v>
                </c:pt>
                <c:pt idx="60">
                  <c:v>2021-22</c:v>
                </c:pt>
              </c:strCache>
            </c:strRef>
          </c:cat>
          <c:val>
            <c:numRef>
              <c:f>'aid-defence'!$F$9:$F$69</c:f>
              <c:numCache>
                <c:formatCode>General</c:formatCode>
                <c:ptCount val="61"/>
                <c:pt idx="0">
                  <c:v>6.828125</c:v>
                </c:pt>
                <c:pt idx="1">
                  <c:v>6.5866666666666669</c:v>
                </c:pt>
                <c:pt idx="2">
                  <c:v>6.808139534883721</c:v>
                </c:pt>
                <c:pt idx="3">
                  <c:v>7.3398135290616944</c:v>
                </c:pt>
                <c:pt idx="4">
                  <c:v>8.2242676574373146</c:v>
                </c:pt>
                <c:pt idx="5">
                  <c:v>8.5980962793838618</c:v>
                </c:pt>
                <c:pt idx="6">
                  <c:v>8.445401908088261</c:v>
                </c:pt>
                <c:pt idx="7">
                  <c:v>7.8421418265377003</c:v>
                </c:pt>
                <c:pt idx="8">
                  <c:v>6.8818411112317923</c:v>
                </c:pt>
                <c:pt idx="9">
                  <c:v>6.6525183927560843</c:v>
                </c:pt>
                <c:pt idx="10">
                  <c:v>6.2094763092269325</c:v>
                </c:pt>
                <c:pt idx="11">
                  <c:v>5.9557481751824826</c:v>
                </c:pt>
                <c:pt idx="12">
                  <c:v>5.594563986409967</c:v>
                </c:pt>
                <c:pt idx="13">
                  <c:v>5.1793185893604301</c:v>
                </c:pt>
                <c:pt idx="14">
                  <c:v>5.6109550561797752</c:v>
                </c:pt>
                <c:pt idx="15">
                  <c:v>5.838943552563439</c:v>
                </c:pt>
                <c:pt idx="16">
                  <c:v>5.7744660877728231</c:v>
                </c:pt>
                <c:pt idx="17">
                  <c:v>5.9222886421861656</c:v>
                </c:pt>
                <c:pt idx="18">
                  <c:v>6.3151169648122663</c:v>
                </c:pt>
                <c:pt idx="19">
                  <c:v>6.624119718309859</c:v>
                </c:pt>
                <c:pt idx="20">
                  <c:v>6.6816109422492405</c:v>
                </c:pt>
                <c:pt idx="21">
                  <c:v>6.7257587966693526</c:v>
                </c:pt>
                <c:pt idx="22">
                  <c:v>6.0232882592831087</c:v>
                </c:pt>
                <c:pt idx="23">
                  <c:v>6.2106796202898353</c:v>
                </c:pt>
                <c:pt idx="24">
                  <c:v>6.684520507020614</c:v>
                </c:pt>
                <c:pt idx="25">
                  <c:v>7.4030151207032278</c:v>
                </c:pt>
                <c:pt idx="26">
                  <c:v>7.3266827585598113</c:v>
                </c:pt>
                <c:pt idx="27">
                  <c:v>6.6690160710982243</c:v>
                </c:pt>
                <c:pt idx="28">
                  <c:v>7.3168217467681949</c:v>
                </c:pt>
                <c:pt idx="29">
                  <c:v>7.1500507517604523</c:v>
                </c:pt>
                <c:pt idx="30">
                  <c:v>7.0444716571084065</c:v>
                </c:pt>
                <c:pt idx="31">
                  <c:v>7.1439135155413043</c:v>
                </c:pt>
                <c:pt idx="32">
                  <c:v>7.2319900199530061</c:v>
                </c:pt>
                <c:pt idx="33">
                  <c:v>6.964066856119274</c:v>
                </c:pt>
                <c:pt idx="34">
                  <c:v>6.6884894427534984</c:v>
                </c:pt>
                <c:pt idx="35">
                  <c:v>7.4660470792424478</c:v>
                </c:pt>
                <c:pt idx="36">
                  <c:v>7.8389801150142038</c:v>
                </c:pt>
                <c:pt idx="37">
                  <c:v>7.8648860445373217</c:v>
                </c:pt>
                <c:pt idx="38">
                  <c:v>7.1595572328020252</c:v>
                </c:pt>
                <c:pt idx="39">
                  <c:v>8.308952068314321</c:v>
                </c:pt>
                <c:pt idx="40">
                  <c:v>8.283144043968365</c:v>
                </c:pt>
                <c:pt idx="41">
                  <c:v>8.3153283783262548</c:v>
                </c:pt>
                <c:pt idx="42">
                  <c:v>8.2108911035632968</c:v>
                </c:pt>
                <c:pt idx="43">
                  <c:v>7.8398410187248029</c:v>
                </c:pt>
                <c:pt idx="44">
                  <c:v>7.2202147333210815</c:v>
                </c:pt>
                <c:pt idx="45">
                  <c:v>7.1326604009749337</c:v>
                </c:pt>
                <c:pt idx="46">
                  <c:v>7.2901780453812979</c:v>
                </c:pt>
                <c:pt idx="47">
                  <c:v>6.5541340317700021</c:v>
                </c:pt>
                <c:pt idx="48">
                  <c:v>6.6376895844560782</c:v>
                </c:pt>
                <c:pt idx="49">
                  <c:v>6.0533307163241901</c:v>
                </c:pt>
                <c:pt idx="50">
                  <c:v>5.3137465649996356</c:v>
                </c:pt>
                <c:pt idx="51">
                  <c:v>5.2950126988115462</c:v>
                </c:pt>
                <c:pt idx="52">
                  <c:v>5.6623401615877027</c:v>
                </c:pt>
                <c:pt idx="53">
                  <c:v>6.3312818365757417</c:v>
                </c:pt>
                <c:pt idx="54">
                  <c:v>7.8676634258294733</c:v>
                </c:pt>
              </c:numCache>
            </c:numRef>
          </c:val>
          <c:smooth val="0"/>
          <c:extLst>
            <c:ext xmlns:c16="http://schemas.microsoft.com/office/drawing/2014/chart" uri="{C3380CC4-5D6E-409C-BE32-E72D297353CC}">
              <c16:uniqueId val="{00000000-796D-4EE4-BEC4-F33B28C2AAE6}"/>
            </c:ext>
          </c:extLst>
        </c:ser>
        <c:ser>
          <c:idx val="1"/>
          <c:order val="1"/>
          <c:tx>
            <c:strRef>
              <c:f>'aid-defence'!$G$7</c:f>
              <c:strCache>
                <c:ptCount val="1"/>
                <c:pt idx="0">
                  <c:v>Using budget data</c:v>
                </c:pt>
              </c:strCache>
            </c:strRef>
          </c:tx>
          <c:spPr>
            <a:ln w="28575" cap="rnd">
              <a:solidFill>
                <a:schemeClr val="accent2"/>
              </a:solidFill>
              <a:round/>
            </a:ln>
            <a:effectLst/>
          </c:spPr>
          <c:marker>
            <c:symbol val="none"/>
          </c:marker>
          <c:cat>
            <c:strRef>
              <c:f>'aid-defence'!$E$9:$E$69</c:f>
              <c:strCache>
                <c:ptCount val="61"/>
                <c:pt idx="0">
                  <c:v>1961-62</c:v>
                </c:pt>
                <c:pt idx="1">
                  <c:v>1962-63</c:v>
                </c:pt>
                <c:pt idx="2">
                  <c:v>1963-64</c:v>
                </c:pt>
                <c:pt idx="3">
                  <c:v>1964-65</c:v>
                </c:pt>
                <c:pt idx="4">
                  <c:v>1965-66</c:v>
                </c:pt>
                <c:pt idx="5">
                  <c:v>1966-67</c:v>
                </c:pt>
                <c:pt idx="6">
                  <c:v>1967-68</c:v>
                </c:pt>
                <c:pt idx="7">
                  <c:v>1968-69</c:v>
                </c:pt>
                <c:pt idx="8">
                  <c:v>1969-70</c:v>
                </c:pt>
                <c:pt idx="9">
                  <c:v>1970-71</c:v>
                </c:pt>
                <c:pt idx="10">
                  <c:v>1971-72</c:v>
                </c:pt>
                <c:pt idx="11">
                  <c:v>1972-73</c:v>
                </c:pt>
                <c:pt idx="12">
                  <c:v>1973-74</c:v>
                </c:pt>
                <c:pt idx="13">
                  <c:v>1974-75</c:v>
                </c:pt>
                <c:pt idx="14">
                  <c:v>1975-76</c:v>
                </c:pt>
                <c:pt idx="15">
                  <c:v>1976-77</c:v>
                </c:pt>
                <c:pt idx="16">
                  <c:v>1977-78</c:v>
                </c:pt>
                <c:pt idx="17">
                  <c:v>1978-79</c:v>
                </c:pt>
                <c:pt idx="18">
                  <c:v>1979-80</c:v>
                </c:pt>
                <c:pt idx="19">
                  <c:v>1980-81</c:v>
                </c:pt>
                <c:pt idx="20">
                  <c:v>1981-82</c:v>
                </c:pt>
                <c:pt idx="21">
                  <c:v>1982-83</c:v>
                </c:pt>
                <c:pt idx="22">
                  <c:v>1983-84</c:v>
                </c:pt>
                <c:pt idx="23">
                  <c:v>1984-85</c:v>
                </c:pt>
                <c:pt idx="24">
                  <c:v>1985-86</c:v>
                </c:pt>
                <c:pt idx="25">
                  <c:v>1986-87</c:v>
                </c:pt>
                <c:pt idx="26">
                  <c:v>1987-88</c:v>
                </c:pt>
                <c:pt idx="27">
                  <c:v>1988-89</c:v>
                </c:pt>
                <c:pt idx="28">
                  <c:v>1989-90</c:v>
                </c:pt>
                <c:pt idx="29">
                  <c:v>1990-91</c:v>
                </c:pt>
                <c:pt idx="30">
                  <c:v>1991-92</c:v>
                </c:pt>
                <c:pt idx="31">
                  <c:v>1992-93</c:v>
                </c:pt>
                <c:pt idx="32">
                  <c:v>1993-94</c:v>
                </c:pt>
                <c:pt idx="33">
                  <c:v>1994-95</c:v>
                </c:pt>
                <c:pt idx="34">
                  <c:v>1995-96</c:v>
                </c:pt>
                <c:pt idx="35">
                  <c:v>1996-97</c:v>
                </c:pt>
                <c:pt idx="36">
                  <c:v>1997-98</c:v>
                </c:pt>
                <c:pt idx="37">
                  <c:v>1998-99</c:v>
                </c:pt>
                <c:pt idx="38">
                  <c:v>1999-00</c:v>
                </c:pt>
                <c:pt idx="39">
                  <c:v>2000-01</c:v>
                </c:pt>
                <c:pt idx="40">
                  <c:v>2001-02</c:v>
                </c:pt>
                <c:pt idx="41">
                  <c:v>2002-03</c:v>
                </c:pt>
                <c:pt idx="42">
                  <c:v>2003-04</c:v>
                </c:pt>
                <c:pt idx="43">
                  <c:v>2004-05</c:v>
                </c:pt>
                <c:pt idx="44">
                  <c:v>2005-06</c:v>
                </c:pt>
                <c:pt idx="45">
                  <c:v>2006-07</c:v>
                </c:pt>
                <c:pt idx="46">
                  <c:v>2007-08</c:v>
                </c:pt>
                <c:pt idx="47">
                  <c:v>2008-09</c:v>
                </c:pt>
                <c:pt idx="48">
                  <c:v>2009-10</c:v>
                </c:pt>
                <c:pt idx="49">
                  <c:v>2010-11</c:v>
                </c:pt>
                <c:pt idx="50">
                  <c:v>2011-12</c:v>
                </c:pt>
                <c:pt idx="51">
                  <c:v>2012-13</c:v>
                </c:pt>
                <c:pt idx="52">
                  <c:v>2013-14</c:v>
                </c:pt>
                <c:pt idx="53">
                  <c:v>2014-15</c:v>
                </c:pt>
                <c:pt idx="54">
                  <c:v>2015-16</c:v>
                </c:pt>
                <c:pt idx="55">
                  <c:v>2016-17</c:v>
                </c:pt>
                <c:pt idx="56">
                  <c:v>2017-18</c:v>
                </c:pt>
                <c:pt idx="57">
                  <c:v>2018-19</c:v>
                </c:pt>
                <c:pt idx="58">
                  <c:v>2019-20</c:v>
                </c:pt>
                <c:pt idx="59">
                  <c:v>2020-21</c:v>
                </c:pt>
                <c:pt idx="60">
                  <c:v>2021-22</c:v>
                </c:pt>
              </c:strCache>
            </c:strRef>
          </c:cat>
          <c:val>
            <c:numRef>
              <c:f>'aid-defence'!$G$9:$G$69</c:f>
              <c:numCache>
                <c:formatCode>General</c:formatCode>
                <c:ptCount val="61"/>
                <c:pt idx="42">
                  <c:v>7.6454594560036089</c:v>
                </c:pt>
                <c:pt idx="43">
                  <c:v>7.3275049545968072</c:v>
                </c:pt>
                <c:pt idx="44">
                  <c:v>6.5312668834905603</c:v>
                </c:pt>
                <c:pt idx="45">
                  <c:v>6.6523599890020044</c:v>
                </c:pt>
                <c:pt idx="46">
                  <c:v>6.6514036791827298</c:v>
                </c:pt>
                <c:pt idx="47">
                  <c:v>5.9819483308017434</c:v>
                </c:pt>
                <c:pt idx="48">
                  <c:v>6.4066449609269629</c:v>
                </c:pt>
                <c:pt idx="49">
                  <c:v>5.6506094435948437</c:v>
                </c:pt>
                <c:pt idx="50">
                  <c:v>5.2981927335257648</c:v>
                </c:pt>
                <c:pt idx="51">
                  <c:v>4.805469161741688</c:v>
                </c:pt>
                <c:pt idx="52">
                  <c:v>5.1586978339164054</c:v>
                </c:pt>
                <c:pt idx="53">
                  <c:v>5.7450376076354859</c:v>
                </c:pt>
                <c:pt idx="54">
                  <c:v>7.5737863964657155</c:v>
                </c:pt>
                <c:pt idx="55">
                  <c:v>7.9042124392281696</c:v>
                </c:pt>
                <c:pt idx="56">
                  <c:v>8.6257103262202595</c:v>
                </c:pt>
                <c:pt idx="57">
                  <c:v>8.5389826964671958</c:v>
                </c:pt>
                <c:pt idx="58">
                  <c:v>8.9244678657074346</c:v>
                </c:pt>
                <c:pt idx="59">
                  <c:v>10.113741749999999</c:v>
                </c:pt>
                <c:pt idx="60">
                  <c:v>11.026006750000001</c:v>
                </c:pt>
              </c:numCache>
            </c:numRef>
          </c:val>
          <c:smooth val="0"/>
          <c:extLst>
            <c:ext xmlns:c16="http://schemas.microsoft.com/office/drawing/2014/chart" uri="{C3380CC4-5D6E-409C-BE32-E72D297353CC}">
              <c16:uniqueId val="{00000001-796D-4EE4-BEC4-F33B28C2AAE6}"/>
            </c:ext>
          </c:extLst>
        </c:ser>
        <c:dLbls>
          <c:showLegendKey val="0"/>
          <c:showVal val="0"/>
          <c:showCatName val="0"/>
          <c:showSerName val="0"/>
          <c:showPercent val="0"/>
          <c:showBubbleSize val="0"/>
        </c:dLbls>
        <c:smooth val="0"/>
        <c:axId val="465501480"/>
        <c:axId val="465499512"/>
      </c:lineChart>
      <c:catAx>
        <c:axId val="465501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5499512"/>
        <c:crosses val="autoZero"/>
        <c:auto val="1"/>
        <c:lblAlgn val="ctr"/>
        <c:lblOffset val="100"/>
        <c:noMultiLvlLbl val="0"/>
      </c:catAx>
      <c:valAx>
        <c:axId val="465499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5501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'aid-defence'!$J$6</c:f>
              <c:strCache>
                <c:ptCount val="1"/>
                <c:pt idx="0">
                  <c:v>Aid/GNI (lhs)</c:v>
                </c:pt>
              </c:strCache>
            </c:strRef>
          </c:tx>
          <c:spPr>
            <a:ln w="28575" cap="rnd">
              <a:solidFill>
                <a:schemeClr val="accent1"/>
              </a:solidFill>
              <a:round/>
            </a:ln>
            <a:effectLst/>
          </c:spPr>
          <c:marker>
            <c:symbol val="none"/>
          </c:marker>
          <c:cat>
            <c:strRef>
              <c:f>'aid-defence'!$I$9:$I$69</c:f>
              <c:strCache>
                <c:ptCount val="61"/>
                <c:pt idx="0">
                  <c:v>1961-62</c:v>
                </c:pt>
                <c:pt idx="1">
                  <c:v>1962-63</c:v>
                </c:pt>
                <c:pt idx="2">
                  <c:v>1963-64</c:v>
                </c:pt>
                <c:pt idx="3">
                  <c:v>1964-65</c:v>
                </c:pt>
                <c:pt idx="4">
                  <c:v>1965-66</c:v>
                </c:pt>
                <c:pt idx="5">
                  <c:v>1966-67</c:v>
                </c:pt>
                <c:pt idx="6">
                  <c:v>1967-68</c:v>
                </c:pt>
                <c:pt idx="7">
                  <c:v>1968-69</c:v>
                </c:pt>
                <c:pt idx="8">
                  <c:v>1969-70</c:v>
                </c:pt>
                <c:pt idx="9">
                  <c:v>1970-71</c:v>
                </c:pt>
                <c:pt idx="10">
                  <c:v>1971-72</c:v>
                </c:pt>
                <c:pt idx="11">
                  <c:v>1972-73</c:v>
                </c:pt>
                <c:pt idx="12">
                  <c:v>1973-74</c:v>
                </c:pt>
                <c:pt idx="13">
                  <c:v>1974-75</c:v>
                </c:pt>
                <c:pt idx="14">
                  <c:v>1975-76</c:v>
                </c:pt>
                <c:pt idx="15">
                  <c:v>1976-77</c:v>
                </c:pt>
                <c:pt idx="16">
                  <c:v>1977-78</c:v>
                </c:pt>
                <c:pt idx="17">
                  <c:v>1978-79</c:v>
                </c:pt>
                <c:pt idx="18">
                  <c:v>1979-80</c:v>
                </c:pt>
                <c:pt idx="19">
                  <c:v>1980-81</c:v>
                </c:pt>
                <c:pt idx="20">
                  <c:v>1981-82</c:v>
                </c:pt>
                <c:pt idx="21">
                  <c:v>1982-83</c:v>
                </c:pt>
                <c:pt idx="22">
                  <c:v>1983-84</c:v>
                </c:pt>
                <c:pt idx="23">
                  <c:v>1984-85</c:v>
                </c:pt>
                <c:pt idx="24">
                  <c:v>1985-86</c:v>
                </c:pt>
                <c:pt idx="25">
                  <c:v>1986-87</c:v>
                </c:pt>
                <c:pt idx="26">
                  <c:v>1987-88</c:v>
                </c:pt>
                <c:pt idx="27">
                  <c:v>1988-89</c:v>
                </c:pt>
                <c:pt idx="28">
                  <c:v>1989-90</c:v>
                </c:pt>
                <c:pt idx="29">
                  <c:v>1990-91</c:v>
                </c:pt>
                <c:pt idx="30">
                  <c:v>1991-92</c:v>
                </c:pt>
                <c:pt idx="31">
                  <c:v>1992-93</c:v>
                </c:pt>
                <c:pt idx="32">
                  <c:v>1993-94</c:v>
                </c:pt>
                <c:pt idx="33">
                  <c:v>1994-95</c:v>
                </c:pt>
                <c:pt idx="34">
                  <c:v>1995-96</c:v>
                </c:pt>
                <c:pt idx="35">
                  <c:v>1996-97</c:v>
                </c:pt>
                <c:pt idx="36">
                  <c:v>1997-98</c:v>
                </c:pt>
                <c:pt idx="37">
                  <c:v>1998-99</c:v>
                </c:pt>
                <c:pt idx="38">
                  <c:v>1999-00</c:v>
                </c:pt>
                <c:pt idx="39">
                  <c:v>2000-01</c:v>
                </c:pt>
                <c:pt idx="40">
                  <c:v>2001-02</c:v>
                </c:pt>
                <c:pt idx="41">
                  <c:v>2002-03</c:v>
                </c:pt>
                <c:pt idx="42">
                  <c:v>2003-04</c:v>
                </c:pt>
                <c:pt idx="43">
                  <c:v>2004-05</c:v>
                </c:pt>
                <c:pt idx="44">
                  <c:v>2005-06</c:v>
                </c:pt>
                <c:pt idx="45">
                  <c:v>2006-07</c:v>
                </c:pt>
                <c:pt idx="46">
                  <c:v>2007-08</c:v>
                </c:pt>
                <c:pt idx="47">
                  <c:v>2008-09</c:v>
                </c:pt>
                <c:pt idx="48">
                  <c:v>2009-10</c:v>
                </c:pt>
                <c:pt idx="49">
                  <c:v>2010-11</c:v>
                </c:pt>
                <c:pt idx="50">
                  <c:v>2011-12</c:v>
                </c:pt>
                <c:pt idx="51">
                  <c:v>2012-13</c:v>
                </c:pt>
                <c:pt idx="52">
                  <c:v>2013-14</c:v>
                </c:pt>
                <c:pt idx="53">
                  <c:v>2014-15</c:v>
                </c:pt>
                <c:pt idx="54">
                  <c:v>2015-16</c:v>
                </c:pt>
                <c:pt idx="55">
                  <c:v>2016-17</c:v>
                </c:pt>
                <c:pt idx="56">
                  <c:v>2017-18</c:v>
                </c:pt>
                <c:pt idx="57">
                  <c:v>2018-19</c:v>
                </c:pt>
                <c:pt idx="58">
                  <c:v>2019-20</c:v>
                </c:pt>
                <c:pt idx="59">
                  <c:v>2020-21</c:v>
                </c:pt>
                <c:pt idx="60">
                  <c:v>2021-22</c:v>
                </c:pt>
              </c:strCache>
            </c:strRef>
          </c:cat>
          <c:val>
            <c:numRef>
              <c:f>'aid-defence'!$J$9:$J$69</c:f>
              <c:numCache>
                <c:formatCode>General</c:formatCode>
                <c:ptCount val="61"/>
                <c:pt idx="0">
                  <c:v>0.35942940581826349</c:v>
                </c:pt>
                <c:pt idx="1">
                  <c:v>0.39184952978056425</c:v>
                </c:pt>
                <c:pt idx="2">
                  <c:v>0.40554560030180137</c:v>
                </c:pt>
                <c:pt idx="3">
                  <c:v>0.41253822629969417</c:v>
                </c:pt>
                <c:pt idx="4">
                  <c:v>0.4411035618694667</c:v>
                </c:pt>
                <c:pt idx="5">
                  <c:v>0.46173948550428745</c:v>
                </c:pt>
                <c:pt idx="6">
                  <c:v>0.48373147763467667</c:v>
                </c:pt>
                <c:pt idx="7">
                  <c:v>0.46468835361311156</c:v>
                </c:pt>
                <c:pt idx="8">
                  <c:v>0.45502869223799458</c:v>
                </c:pt>
                <c:pt idx="9">
                  <c:v>0.44334604576475306</c:v>
                </c:pt>
                <c:pt idx="10">
                  <c:v>0.4528208139482362</c:v>
                </c:pt>
                <c:pt idx="11">
                  <c:v>0.44047906116871632</c:v>
                </c:pt>
                <c:pt idx="12">
                  <c:v>0.44113238967527063</c:v>
                </c:pt>
                <c:pt idx="13">
                  <c:v>0.4692847124824685</c:v>
                </c:pt>
                <c:pt idx="14">
                  <c:v>0.42777664291464895</c:v>
                </c:pt>
                <c:pt idx="15">
                  <c:v>0.40491093427274344</c:v>
                </c:pt>
                <c:pt idx="16">
                  <c:v>0.41116643507796818</c:v>
                </c:pt>
                <c:pt idx="17">
                  <c:v>0.39995901359382474</c:v>
                </c:pt>
                <c:pt idx="18">
                  <c:v>0.38253009783205372</c:v>
                </c:pt>
                <c:pt idx="19">
                  <c:v>0.37466277052564922</c:v>
                </c:pt>
                <c:pt idx="20">
                  <c:v>0.38202951729583484</c:v>
                </c:pt>
                <c:pt idx="21">
                  <c:v>0.39673490265449007</c:v>
                </c:pt>
                <c:pt idx="22">
                  <c:v>0.44207649754718237</c:v>
                </c:pt>
                <c:pt idx="23">
                  <c:v>0.43658562906303144</c:v>
                </c:pt>
                <c:pt idx="24">
                  <c:v>0.40336001627581242</c:v>
                </c:pt>
                <c:pt idx="25">
                  <c:v>0.34783799201369081</c:v>
                </c:pt>
                <c:pt idx="26">
                  <c:v>0.3208154108048068</c:v>
                </c:pt>
                <c:pt idx="27">
                  <c:v>0.33426854997117961</c:v>
                </c:pt>
                <c:pt idx="28">
                  <c:v>0.30129470771536965</c:v>
                </c:pt>
                <c:pt idx="29">
                  <c:v>0.31715021528308723</c:v>
                </c:pt>
                <c:pt idx="30">
                  <c:v>0.32773412959445375</c:v>
                </c:pt>
                <c:pt idx="31">
                  <c:v>0.32139511697465739</c:v>
                </c:pt>
                <c:pt idx="32">
                  <c:v>0.30992618791327081</c:v>
                </c:pt>
                <c:pt idx="33">
                  <c:v>0.31099643762919094</c:v>
                </c:pt>
                <c:pt idx="34">
                  <c:v>0.30794942081527987</c:v>
                </c:pt>
                <c:pt idx="35">
                  <c:v>0.26692887119738207</c:v>
                </c:pt>
                <c:pt idx="36">
                  <c:v>0.25341815136260759</c:v>
                </c:pt>
                <c:pt idx="37">
                  <c:v>0.25504238770173715</c:v>
                </c:pt>
                <c:pt idx="38">
                  <c:v>0.27304972053720433</c:v>
                </c:pt>
                <c:pt idx="39">
                  <c:v>0.23926312746723974</c:v>
                </c:pt>
                <c:pt idx="40">
                  <c:v>0.24075793520942407</c:v>
                </c:pt>
                <c:pt idx="41">
                  <c:v>0.23657824047297732</c:v>
                </c:pt>
                <c:pt idx="42">
                  <c:v>0.23771621204397117</c:v>
                </c:pt>
                <c:pt idx="43">
                  <c:v>0.24925238196157298</c:v>
                </c:pt>
                <c:pt idx="44">
                  <c:v>0.27369803747590937</c:v>
                </c:pt>
                <c:pt idx="45">
                  <c:v>0.27776905784646722</c:v>
                </c:pt>
                <c:pt idx="46">
                  <c:v>0.27022904391088531</c:v>
                </c:pt>
                <c:pt idx="47">
                  <c:v>0.30550706077530998</c:v>
                </c:pt>
                <c:pt idx="48">
                  <c:v>0.30541712394700171</c:v>
                </c:pt>
                <c:pt idx="49">
                  <c:v>0.31381903816069484</c:v>
                </c:pt>
                <c:pt idx="50">
                  <c:v>0.32834982674199076</c:v>
                </c:pt>
                <c:pt idx="51">
                  <c:v>0.32470130218081006</c:v>
                </c:pt>
                <c:pt idx="52">
                  <c:v>0.32507758120491231</c:v>
                </c:pt>
                <c:pt idx="53">
                  <c:v>0.31827318937253862</c:v>
                </c:pt>
                <c:pt idx="54">
                  <c:v>0.25948087908321676</c:v>
                </c:pt>
                <c:pt idx="55">
                  <c:v>0.23735024126162174</c:v>
                </c:pt>
                <c:pt idx="56">
                  <c:v>0.23008904979546077</c:v>
                </c:pt>
                <c:pt idx="57">
                  <c:v>0.22634184389039</c:v>
                </c:pt>
                <c:pt idx="58">
                  <c:v>0.21654549697421649</c:v>
                </c:pt>
                <c:pt idx="59">
                  <c:v>0.19877273023231926</c:v>
                </c:pt>
                <c:pt idx="60">
                  <c:v>0.19021313897829598</c:v>
                </c:pt>
              </c:numCache>
            </c:numRef>
          </c:val>
          <c:smooth val="0"/>
          <c:extLst>
            <c:ext xmlns:c16="http://schemas.microsoft.com/office/drawing/2014/chart" uri="{C3380CC4-5D6E-409C-BE32-E72D297353CC}">
              <c16:uniqueId val="{00000000-518E-4ECD-8B15-98B1B72286C5}"/>
            </c:ext>
          </c:extLst>
        </c:ser>
        <c:dLbls>
          <c:showLegendKey val="0"/>
          <c:showVal val="0"/>
          <c:showCatName val="0"/>
          <c:showSerName val="0"/>
          <c:showPercent val="0"/>
          <c:showBubbleSize val="0"/>
        </c:dLbls>
        <c:marker val="1"/>
        <c:smooth val="0"/>
        <c:axId val="383633400"/>
        <c:axId val="383627168"/>
      </c:lineChart>
      <c:lineChart>
        <c:grouping val="standard"/>
        <c:varyColors val="0"/>
        <c:ser>
          <c:idx val="1"/>
          <c:order val="1"/>
          <c:tx>
            <c:strRef>
              <c:f>'aid-defence'!$K$6</c:f>
              <c:strCache>
                <c:ptCount val="1"/>
                <c:pt idx="0">
                  <c:v>Defence/GNI (rhs)</c:v>
                </c:pt>
              </c:strCache>
            </c:strRef>
          </c:tx>
          <c:spPr>
            <a:ln w="28575" cap="rnd">
              <a:solidFill>
                <a:schemeClr val="accent2"/>
              </a:solidFill>
              <a:round/>
            </a:ln>
            <a:effectLst/>
          </c:spPr>
          <c:marker>
            <c:symbol val="none"/>
          </c:marker>
          <c:cat>
            <c:strRef>
              <c:f>'aid-defence'!$I$9:$I$69</c:f>
              <c:strCache>
                <c:ptCount val="61"/>
                <c:pt idx="0">
                  <c:v>1961-62</c:v>
                </c:pt>
                <c:pt idx="1">
                  <c:v>1962-63</c:v>
                </c:pt>
                <c:pt idx="2">
                  <c:v>1963-64</c:v>
                </c:pt>
                <c:pt idx="3">
                  <c:v>1964-65</c:v>
                </c:pt>
                <c:pt idx="4">
                  <c:v>1965-66</c:v>
                </c:pt>
                <c:pt idx="5">
                  <c:v>1966-67</c:v>
                </c:pt>
                <c:pt idx="6">
                  <c:v>1967-68</c:v>
                </c:pt>
                <c:pt idx="7">
                  <c:v>1968-69</c:v>
                </c:pt>
                <c:pt idx="8">
                  <c:v>1969-70</c:v>
                </c:pt>
                <c:pt idx="9">
                  <c:v>1970-71</c:v>
                </c:pt>
                <c:pt idx="10">
                  <c:v>1971-72</c:v>
                </c:pt>
                <c:pt idx="11">
                  <c:v>1972-73</c:v>
                </c:pt>
                <c:pt idx="12">
                  <c:v>1973-74</c:v>
                </c:pt>
                <c:pt idx="13">
                  <c:v>1974-75</c:v>
                </c:pt>
                <c:pt idx="14">
                  <c:v>1975-76</c:v>
                </c:pt>
                <c:pt idx="15">
                  <c:v>1976-77</c:v>
                </c:pt>
                <c:pt idx="16">
                  <c:v>1977-78</c:v>
                </c:pt>
                <c:pt idx="17">
                  <c:v>1978-79</c:v>
                </c:pt>
                <c:pt idx="18">
                  <c:v>1979-80</c:v>
                </c:pt>
                <c:pt idx="19">
                  <c:v>1980-81</c:v>
                </c:pt>
                <c:pt idx="20">
                  <c:v>1981-82</c:v>
                </c:pt>
                <c:pt idx="21">
                  <c:v>1982-83</c:v>
                </c:pt>
                <c:pt idx="22">
                  <c:v>1983-84</c:v>
                </c:pt>
                <c:pt idx="23">
                  <c:v>1984-85</c:v>
                </c:pt>
                <c:pt idx="24">
                  <c:v>1985-86</c:v>
                </c:pt>
                <c:pt idx="25">
                  <c:v>1986-87</c:v>
                </c:pt>
                <c:pt idx="26">
                  <c:v>1987-88</c:v>
                </c:pt>
                <c:pt idx="27">
                  <c:v>1988-89</c:v>
                </c:pt>
                <c:pt idx="28">
                  <c:v>1989-90</c:v>
                </c:pt>
                <c:pt idx="29">
                  <c:v>1990-91</c:v>
                </c:pt>
                <c:pt idx="30">
                  <c:v>1991-92</c:v>
                </c:pt>
                <c:pt idx="31">
                  <c:v>1992-93</c:v>
                </c:pt>
                <c:pt idx="32">
                  <c:v>1993-94</c:v>
                </c:pt>
                <c:pt idx="33">
                  <c:v>1994-95</c:v>
                </c:pt>
                <c:pt idx="34">
                  <c:v>1995-96</c:v>
                </c:pt>
                <c:pt idx="35">
                  <c:v>1996-97</c:v>
                </c:pt>
                <c:pt idx="36">
                  <c:v>1997-98</c:v>
                </c:pt>
                <c:pt idx="37">
                  <c:v>1998-99</c:v>
                </c:pt>
                <c:pt idx="38">
                  <c:v>1999-00</c:v>
                </c:pt>
                <c:pt idx="39">
                  <c:v>2000-01</c:v>
                </c:pt>
                <c:pt idx="40">
                  <c:v>2001-02</c:v>
                </c:pt>
                <c:pt idx="41">
                  <c:v>2002-03</c:v>
                </c:pt>
                <c:pt idx="42">
                  <c:v>2003-04</c:v>
                </c:pt>
                <c:pt idx="43">
                  <c:v>2004-05</c:v>
                </c:pt>
                <c:pt idx="44">
                  <c:v>2005-06</c:v>
                </c:pt>
                <c:pt idx="45">
                  <c:v>2006-07</c:v>
                </c:pt>
                <c:pt idx="46">
                  <c:v>2007-08</c:v>
                </c:pt>
                <c:pt idx="47">
                  <c:v>2008-09</c:v>
                </c:pt>
                <c:pt idx="48">
                  <c:v>2009-10</c:v>
                </c:pt>
                <c:pt idx="49">
                  <c:v>2010-11</c:v>
                </c:pt>
                <c:pt idx="50">
                  <c:v>2011-12</c:v>
                </c:pt>
                <c:pt idx="51">
                  <c:v>2012-13</c:v>
                </c:pt>
                <c:pt idx="52">
                  <c:v>2013-14</c:v>
                </c:pt>
                <c:pt idx="53">
                  <c:v>2014-15</c:v>
                </c:pt>
                <c:pt idx="54">
                  <c:v>2015-16</c:v>
                </c:pt>
                <c:pt idx="55">
                  <c:v>2016-17</c:v>
                </c:pt>
                <c:pt idx="56">
                  <c:v>2017-18</c:v>
                </c:pt>
                <c:pt idx="57">
                  <c:v>2018-19</c:v>
                </c:pt>
                <c:pt idx="58">
                  <c:v>2019-20</c:v>
                </c:pt>
                <c:pt idx="59">
                  <c:v>2020-21</c:v>
                </c:pt>
                <c:pt idx="60">
                  <c:v>2021-22</c:v>
                </c:pt>
              </c:strCache>
            </c:strRef>
          </c:cat>
          <c:val>
            <c:numRef>
              <c:f>'aid-defence'!$K$9:$K$69</c:f>
              <c:numCache>
                <c:formatCode>General</c:formatCode>
                <c:ptCount val="61"/>
                <c:pt idx="0">
                  <c:v>2.4542289116028302</c:v>
                </c:pt>
                <c:pt idx="1">
                  <c:v>2.5809822361546502</c:v>
                </c:pt>
                <c:pt idx="2">
                  <c:v>2.7610110346128454</c:v>
                </c:pt>
                <c:pt idx="3">
                  <c:v>3.0279536546496102</c:v>
                </c:pt>
                <c:pt idx="4">
                  <c:v>3.6277537574634544</c:v>
                </c:pt>
                <c:pt idx="5">
                  <c:v>3.9700805523590326</c:v>
                </c:pt>
                <c:pt idx="6">
                  <c:v>4.0853067442182525</c:v>
                </c:pt>
                <c:pt idx="7">
                  <c:v>3.6441519741743233</c:v>
                </c:pt>
                <c:pt idx="8">
                  <c:v>3.1314351610334699</c:v>
                </c:pt>
                <c:pt idx="9">
                  <c:v>2.9493677238057003</c:v>
                </c:pt>
                <c:pt idx="10">
                  <c:v>2.8117801165364291</c:v>
                </c:pt>
                <c:pt idx="11">
                  <c:v>2.6233823647616754</c:v>
                </c:pt>
                <c:pt idx="12">
                  <c:v>2.4679433805162372</c:v>
                </c:pt>
                <c:pt idx="13">
                  <c:v>2.4305750350631139</c:v>
                </c:pt>
                <c:pt idx="14">
                  <c:v>2.4002355174775598</c:v>
                </c:pt>
                <c:pt idx="15">
                  <c:v>2.3642520890342738</c:v>
                </c:pt>
                <c:pt idx="16">
                  <c:v>2.3742666357881732</c:v>
                </c:pt>
                <c:pt idx="17">
                  <c:v>2.3686727235466907</c:v>
                </c:pt>
                <c:pt idx="18">
                  <c:v>2.4157223103704983</c:v>
                </c:pt>
                <c:pt idx="19">
                  <c:v>2.4818110459555549</c:v>
                </c:pt>
                <c:pt idx="20">
                  <c:v>2.5525726030260456</c:v>
                </c:pt>
                <c:pt idx="21">
                  <c:v>2.6683432614741958</c:v>
                </c:pt>
                <c:pt idx="22">
                  <c:v>2.6627541773809416</c:v>
                </c:pt>
                <c:pt idx="23">
                  <c:v>2.7114934689331869</c:v>
                </c:pt>
                <c:pt idx="24">
                  <c:v>2.6962683005078367</c:v>
                </c:pt>
                <c:pt idx="25">
                  <c:v>2.5750499144324017</c:v>
                </c:pt>
                <c:pt idx="26">
                  <c:v>2.3505127390238609</c:v>
                </c:pt>
                <c:pt idx="27">
                  <c:v>2.2292423318204966</c:v>
                </c:pt>
                <c:pt idx="28">
                  <c:v>2.2045196695979836</c:v>
                </c:pt>
                <c:pt idx="29">
                  <c:v>2.2676401352058271</c:v>
                </c:pt>
                <c:pt idx="30">
                  <c:v>2.3087137869952228</c:v>
                </c:pt>
                <c:pt idx="31">
                  <c:v>2.2960189199842334</c:v>
                </c:pt>
                <c:pt idx="32">
                  <c:v>2.2413830979108544</c:v>
                </c:pt>
                <c:pt idx="33">
                  <c:v>2.1657999836646136</c:v>
                </c:pt>
                <c:pt idx="34">
                  <c:v>2.059716450025054</c:v>
                </c:pt>
                <c:pt idx="35">
                  <c:v>1.9929035191686979</c:v>
                </c:pt>
                <c:pt idx="36">
                  <c:v>1.9865398493151405</c:v>
                </c:pt>
                <c:pt idx="37">
                  <c:v>2.0058793158008696</c:v>
                </c:pt>
                <c:pt idx="38">
                  <c:v>1.954915101586713</c:v>
                </c:pt>
                <c:pt idx="39">
                  <c:v>1.9880258578402747</c:v>
                </c:pt>
                <c:pt idx="40">
                  <c:v>1.9942326570680624</c:v>
                </c:pt>
                <c:pt idx="41">
                  <c:v>1.9672257566994413</c:v>
                </c:pt>
                <c:pt idx="42">
                  <c:v>1.8174496612169384</c:v>
                </c:pt>
                <c:pt idx="43">
                  <c:v>1.8263980637684818</c:v>
                </c:pt>
                <c:pt idx="44">
                  <c:v>1.7875949282427652</c:v>
                </c:pt>
                <c:pt idx="45">
                  <c:v>1.8478197666006217</c:v>
                </c:pt>
                <c:pt idx="46">
                  <c:v>1.797402456890894</c:v>
                </c:pt>
                <c:pt idx="47">
                  <c:v>1.8275274522530123</c:v>
                </c:pt>
                <c:pt idx="48">
                  <c:v>1.9566990781158642</c:v>
                </c:pt>
                <c:pt idx="49">
                  <c:v>1.7732688206106728</c:v>
                </c:pt>
                <c:pt idx="50">
                  <c:v>1.7396606660988594</c:v>
                </c:pt>
                <c:pt idx="51">
                  <c:v>1.5603420944072519</c:v>
                </c:pt>
                <c:pt idx="52">
                  <c:v>1.6769770140165656</c:v>
                </c:pt>
                <c:pt idx="53">
                  <c:v>1.8284914424473253</c:v>
                </c:pt>
                <c:pt idx="54">
                  <c:v>1.9652527521434324</c:v>
                </c:pt>
                <c:pt idx="55">
                  <c:v>1.8760667294339177</c:v>
                </c:pt>
                <c:pt idx="56">
                  <c:v>1.9846814927709135</c:v>
                </c:pt>
                <c:pt idx="57">
                  <c:v>1.9327290884665194</c:v>
                </c:pt>
                <c:pt idx="58">
                  <c:v>1.9325533292100416</c:v>
                </c:pt>
                <c:pt idx="59">
                  <c:v>2.0103360605120941</c:v>
                </c:pt>
                <c:pt idx="60">
                  <c:v>2.0972913543133798</c:v>
                </c:pt>
              </c:numCache>
            </c:numRef>
          </c:val>
          <c:smooth val="0"/>
          <c:extLst>
            <c:ext xmlns:c16="http://schemas.microsoft.com/office/drawing/2014/chart" uri="{C3380CC4-5D6E-409C-BE32-E72D297353CC}">
              <c16:uniqueId val="{00000001-518E-4ECD-8B15-98B1B72286C5}"/>
            </c:ext>
          </c:extLst>
        </c:ser>
        <c:dLbls>
          <c:showLegendKey val="0"/>
          <c:showVal val="0"/>
          <c:showCatName val="0"/>
          <c:showSerName val="0"/>
          <c:showPercent val="0"/>
          <c:showBubbleSize val="0"/>
        </c:dLbls>
        <c:marker val="1"/>
        <c:smooth val="0"/>
        <c:axId val="383636352"/>
        <c:axId val="383634384"/>
      </c:lineChart>
      <c:catAx>
        <c:axId val="383633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3627168"/>
        <c:crosses val="autoZero"/>
        <c:auto val="1"/>
        <c:lblAlgn val="ctr"/>
        <c:lblOffset val="100"/>
        <c:noMultiLvlLbl val="0"/>
      </c:catAx>
      <c:valAx>
        <c:axId val="383627168"/>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Aid/GNI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3633400"/>
        <c:crosses val="autoZero"/>
        <c:crossBetween val="between"/>
      </c:valAx>
      <c:valAx>
        <c:axId val="383634384"/>
        <c:scaling>
          <c:orientation val="minMax"/>
          <c:max val="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Defence/GNI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3636352"/>
        <c:crosses val="max"/>
        <c:crossBetween val="between"/>
        <c:majorUnit val="1"/>
      </c:valAx>
      <c:catAx>
        <c:axId val="383636352"/>
        <c:scaling>
          <c:orientation val="minMax"/>
        </c:scaling>
        <c:delete val="1"/>
        <c:axPos val="b"/>
        <c:numFmt formatCode="General" sourceLinked="1"/>
        <c:majorTickMark val="out"/>
        <c:minorTickMark val="none"/>
        <c:tickLblPos val="nextTo"/>
        <c:crossAx val="3836343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'aid-defence'!$B$98</c:f>
              <c:strCache>
                <c:ptCount val="1"/>
                <c:pt idx="0">
                  <c:v>Aid</c:v>
                </c:pt>
              </c:strCache>
            </c:strRef>
          </c:tx>
          <c:spPr>
            <a:solidFill>
              <a:schemeClr val="accent1"/>
            </a:solidFill>
            <a:ln>
              <a:noFill/>
            </a:ln>
            <a:effectLst/>
          </c:spPr>
          <c:invertIfNegative val="0"/>
          <c:cat>
            <c:strRef>
              <c:f>'aid-defence'!$A$104:$A$105</c:f>
              <c:strCache>
                <c:ptCount val="2"/>
                <c:pt idx="0">
                  <c:v>Rudd/Gillard (2006-07 to 201213)</c:v>
                </c:pt>
                <c:pt idx="1">
                  <c:v>Abbott/Turnbull (2012-13 to 2018-19)</c:v>
                </c:pt>
              </c:strCache>
            </c:strRef>
          </c:cat>
          <c:val>
            <c:numRef>
              <c:f>'aid-defence'!$B$104:$B$105</c:f>
              <c:numCache>
                <c:formatCode>0.0%</c:formatCode>
                <c:ptCount val="2"/>
                <c:pt idx="0">
                  <c:v>6.2510039281344909E-2</c:v>
                </c:pt>
                <c:pt idx="1">
                  <c:v>-4.4105345276034713E-2</c:v>
                </c:pt>
              </c:numCache>
            </c:numRef>
          </c:val>
          <c:extLst>
            <c:ext xmlns:c16="http://schemas.microsoft.com/office/drawing/2014/chart" uri="{C3380CC4-5D6E-409C-BE32-E72D297353CC}">
              <c16:uniqueId val="{00000000-65C8-4BD3-8F61-6426B248482C}"/>
            </c:ext>
          </c:extLst>
        </c:ser>
        <c:ser>
          <c:idx val="1"/>
          <c:order val="1"/>
          <c:tx>
            <c:strRef>
              <c:f>'aid-defence'!$C$98</c:f>
              <c:strCache>
                <c:ptCount val="1"/>
                <c:pt idx="0">
                  <c:v>Defence</c:v>
                </c:pt>
              </c:strCache>
            </c:strRef>
          </c:tx>
          <c:spPr>
            <a:solidFill>
              <a:schemeClr val="accent2"/>
            </a:solidFill>
            <a:ln>
              <a:noFill/>
            </a:ln>
            <a:effectLst/>
          </c:spPr>
          <c:invertIfNegative val="0"/>
          <c:cat>
            <c:strRef>
              <c:f>'aid-defence'!$A$104:$A$105</c:f>
              <c:strCache>
                <c:ptCount val="2"/>
                <c:pt idx="0">
                  <c:v>Rudd/Gillard (2006-07 to 201213)</c:v>
                </c:pt>
                <c:pt idx="1">
                  <c:v>Abbott/Turnbull (2012-13 to 2018-19)</c:v>
                </c:pt>
              </c:strCache>
            </c:strRef>
          </c:cat>
          <c:val>
            <c:numRef>
              <c:f>'aid-defence'!$C$104:$C$105</c:f>
              <c:numCache>
                <c:formatCode>0.0%</c:formatCode>
                <c:ptCount val="2"/>
                <c:pt idx="0">
                  <c:v>6.4519621022323115E-3</c:v>
                </c:pt>
                <c:pt idx="1">
                  <c:v>5.2014573773635275E-2</c:v>
                </c:pt>
              </c:numCache>
            </c:numRef>
          </c:val>
          <c:extLst>
            <c:ext xmlns:c16="http://schemas.microsoft.com/office/drawing/2014/chart" uri="{C3380CC4-5D6E-409C-BE32-E72D297353CC}">
              <c16:uniqueId val="{00000001-65C8-4BD3-8F61-6426B248482C}"/>
            </c:ext>
          </c:extLst>
        </c:ser>
        <c:ser>
          <c:idx val="2"/>
          <c:order val="2"/>
          <c:tx>
            <c:strRef>
              <c:f>'aid-defence'!$D$98</c:f>
              <c:strCache>
                <c:ptCount val="1"/>
                <c:pt idx="0">
                  <c:v>Total expenditure</c:v>
                </c:pt>
              </c:strCache>
            </c:strRef>
          </c:tx>
          <c:spPr>
            <a:solidFill>
              <a:schemeClr val="accent3"/>
            </a:solidFill>
            <a:ln>
              <a:noFill/>
            </a:ln>
            <a:effectLst/>
          </c:spPr>
          <c:invertIfNegative val="0"/>
          <c:cat>
            <c:strRef>
              <c:f>'aid-defence'!$A$104:$A$105</c:f>
              <c:strCache>
                <c:ptCount val="2"/>
                <c:pt idx="0">
                  <c:v>Rudd/Gillard (2006-07 to 201213)</c:v>
                </c:pt>
                <c:pt idx="1">
                  <c:v>Abbott/Turnbull (2012-13 to 2018-19)</c:v>
                </c:pt>
              </c:strCache>
            </c:strRef>
          </c:cat>
          <c:val>
            <c:numRef>
              <c:f>'aid-defence'!$D$104:$D$105</c:f>
              <c:numCache>
                <c:formatCode>0.0%</c:formatCode>
                <c:ptCount val="2"/>
                <c:pt idx="0">
                  <c:v>3.6033459204910967E-2</c:v>
                </c:pt>
                <c:pt idx="1">
                  <c:v>2.725043843662811E-2</c:v>
                </c:pt>
              </c:numCache>
            </c:numRef>
          </c:val>
          <c:extLst>
            <c:ext xmlns:c16="http://schemas.microsoft.com/office/drawing/2014/chart" uri="{C3380CC4-5D6E-409C-BE32-E72D297353CC}">
              <c16:uniqueId val="{00000002-65C8-4BD3-8F61-6426B248482C}"/>
            </c:ext>
          </c:extLst>
        </c:ser>
        <c:dLbls>
          <c:showLegendKey val="0"/>
          <c:showVal val="0"/>
          <c:showCatName val="0"/>
          <c:showSerName val="0"/>
          <c:showPercent val="0"/>
          <c:showBubbleSize val="0"/>
        </c:dLbls>
        <c:gapWidth val="219"/>
        <c:overlap val="-27"/>
        <c:axId val="372541816"/>
        <c:axId val="372543456"/>
      </c:barChart>
      <c:catAx>
        <c:axId val="37254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543456"/>
        <c:crosses val="autoZero"/>
        <c:auto val="1"/>
        <c:lblAlgn val="ctr"/>
        <c:lblOffset val="100"/>
        <c:noMultiLvlLbl val="0"/>
      </c:catAx>
      <c:valAx>
        <c:axId val="372543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54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'aid-defence'!$O$6</c:f>
              <c:strCache>
                <c:ptCount val="1"/>
                <c:pt idx="0">
                  <c:v>Aid (lhs)</c:v>
                </c:pt>
              </c:strCache>
            </c:strRef>
          </c:tx>
          <c:spPr>
            <a:ln w="28575" cap="rnd">
              <a:solidFill>
                <a:schemeClr val="accent1"/>
              </a:solidFill>
              <a:round/>
            </a:ln>
            <a:effectLst/>
          </c:spPr>
          <c:marker>
            <c:symbol val="none"/>
          </c:marker>
          <c:cat>
            <c:strRef>
              <c:f>'aid-defence'!$N$9:$N$69</c:f>
              <c:strCache>
                <c:ptCount val="61"/>
                <c:pt idx="0">
                  <c:v>1961-62</c:v>
                </c:pt>
                <c:pt idx="1">
                  <c:v>1962-63</c:v>
                </c:pt>
                <c:pt idx="2">
                  <c:v>1963-64</c:v>
                </c:pt>
                <c:pt idx="3">
                  <c:v>1964-65</c:v>
                </c:pt>
                <c:pt idx="4">
                  <c:v>1965-66</c:v>
                </c:pt>
                <c:pt idx="5">
                  <c:v>1966-67</c:v>
                </c:pt>
                <c:pt idx="6">
                  <c:v>1967-68</c:v>
                </c:pt>
                <c:pt idx="7">
                  <c:v>1968-69</c:v>
                </c:pt>
                <c:pt idx="8">
                  <c:v>1969-70</c:v>
                </c:pt>
                <c:pt idx="9">
                  <c:v>1970-71</c:v>
                </c:pt>
                <c:pt idx="10">
                  <c:v>1971-72</c:v>
                </c:pt>
                <c:pt idx="11">
                  <c:v>1972-73</c:v>
                </c:pt>
                <c:pt idx="12">
                  <c:v>1973-74</c:v>
                </c:pt>
                <c:pt idx="13">
                  <c:v>1974-75</c:v>
                </c:pt>
                <c:pt idx="14">
                  <c:v>1975-76</c:v>
                </c:pt>
                <c:pt idx="15">
                  <c:v>1976-77</c:v>
                </c:pt>
                <c:pt idx="16">
                  <c:v>1977-78</c:v>
                </c:pt>
                <c:pt idx="17">
                  <c:v>1978-79</c:v>
                </c:pt>
                <c:pt idx="18">
                  <c:v>1979-80</c:v>
                </c:pt>
                <c:pt idx="19">
                  <c:v>1980-81</c:v>
                </c:pt>
                <c:pt idx="20">
                  <c:v>1981-82</c:v>
                </c:pt>
                <c:pt idx="21">
                  <c:v>1982-83</c:v>
                </c:pt>
                <c:pt idx="22">
                  <c:v>1983-84</c:v>
                </c:pt>
                <c:pt idx="23">
                  <c:v>1984-85</c:v>
                </c:pt>
                <c:pt idx="24">
                  <c:v>1985-86</c:v>
                </c:pt>
                <c:pt idx="25">
                  <c:v>1986-87</c:v>
                </c:pt>
                <c:pt idx="26">
                  <c:v>1987-88</c:v>
                </c:pt>
                <c:pt idx="27">
                  <c:v>1988-89</c:v>
                </c:pt>
                <c:pt idx="28">
                  <c:v>1989-90</c:v>
                </c:pt>
                <c:pt idx="29">
                  <c:v>1990-91</c:v>
                </c:pt>
                <c:pt idx="30">
                  <c:v>1991-92</c:v>
                </c:pt>
                <c:pt idx="31">
                  <c:v>1992-93</c:v>
                </c:pt>
                <c:pt idx="32">
                  <c:v>1993-94</c:v>
                </c:pt>
                <c:pt idx="33">
                  <c:v>1994-95</c:v>
                </c:pt>
                <c:pt idx="34">
                  <c:v>1995-96</c:v>
                </c:pt>
                <c:pt idx="35">
                  <c:v>1996-97</c:v>
                </c:pt>
                <c:pt idx="36">
                  <c:v>1997-98</c:v>
                </c:pt>
                <c:pt idx="37">
                  <c:v>1998-99</c:v>
                </c:pt>
                <c:pt idx="38">
                  <c:v>1999-00</c:v>
                </c:pt>
                <c:pt idx="39">
                  <c:v>2000-01</c:v>
                </c:pt>
                <c:pt idx="40">
                  <c:v>2001-02</c:v>
                </c:pt>
                <c:pt idx="41">
                  <c:v>2002-03</c:v>
                </c:pt>
                <c:pt idx="42">
                  <c:v>2003-04</c:v>
                </c:pt>
                <c:pt idx="43">
                  <c:v>2004-05</c:v>
                </c:pt>
                <c:pt idx="44">
                  <c:v>2005-06</c:v>
                </c:pt>
                <c:pt idx="45">
                  <c:v>2006-07</c:v>
                </c:pt>
                <c:pt idx="46">
                  <c:v>2007-08</c:v>
                </c:pt>
                <c:pt idx="47">
                  <c:v>2008-09</c:v>
                </c:pt>
                <c:pt idx="48">
                  <c:v>2009-10</c:v>
                </c:pt>
                <c:pt idx="49">
                  <c:v>2010-11</c:v>
                </c:pt>
                <c:pt idx="50">
                  <c:v>2011-12</c:v>
                </c:pt>
                <c:pt idx="51">
                  <c:v>2012-13</c:v>
                </c:pt>
                <c:pt idx="52">
                  <c:v>2013-14</c:v>
                </c:pt>
                <c:pt idx="53">
                  <c:v>2014-15</c:v>
                </c:pt>
                <c:pt idx="54">
                  <c:v>2015-16</c:v>
                </c:pt>
                <c:pt idx="55">
                  <c:v>2016-17</c:v>
                </c:pt>
                <c:pt idx="56">
                  <c:v>2017-18</c:v>
                </c:pt>
                <c:pt idx="57">
                  <c:v>2018-19</c:v>
                </c:pt>
                <c:pt idx="58">
                  <c:v>2019-20</c:v>
                </c:pt>
                <c:pt idx="59">
                  <c:v>2020-21</c:v>
                </c:pt>
                <c:pt idx="60">
                  <c:v>2021-22</c:v>
                </c:pt>
              </c:strCache>
            </c:strRef>
          </c:cat>
          <c:val>
            <c:numRef>
              <c:f>'aid-defence'!$O$9:$O$69</c:f>
              <c:numCache>
                <c:formatCode>#,##0.00</c:formatCode>
                <c:ptCount val="61"/>
                <c:pt idx="0">
                  <c:v>947.31950769230787</c:v>
                </c:pt>
                <c:pt idx="1">
                  <c:v>1110.1400480769232</c:v>
                </c:pt>
                <c:pt idx="2">
                  <c:v>1241.13657375</c:v>
                </c:pt>
                <c:pt idx="3">
                  <c:v>1332.3039495343376</c:v>
                </c:pt>
                <c:pt idx="4">
                  <c:v>1438.1074316197678</c:v>
                </c:pt>
                <c:pt idx="5">
                  <c:v>1613.6137563168541</c:v>
                </c:pt>
                <c:pt idx="6">
                  <c:v>1772.6843160840663</c:v>
                </c:pt>
                <c:pt idx="7">
                  <c:v>1838.7244892297874</c:v>
                </c:pt>
                <c:pt idx="8">
                  <c:v>1972.5590968237118</c:v>
                </c:pt>
                <c:pt idx="9">
                  <c:v>2000.0805525000001</c:v>
                </c:pt>
                <c:pt idx="10">
                  <c:v>2123.728466284404</c:v>
                </c:pt>
                <c:pt idx="11">
                  <c:v>2144.715309152542</c:v>
                </c:pt>
                <c:pt idx="12">
                  <c:v>2265.4751310000001</c:v>
                </c:pt>
                <c:pt idx="13">
                  <c:v>2445.0061676582286</c:v>
                </c:pt>
                <c:pt idx="14">
                  <c:v>2322.1370135593224</c:v>
                </c:pt>
                <c:pt idx="15">
                  <c:v>2218.3359702985072</c:v>
                </c:pt>
                <c:pt idx="16">
                  <c:v>2267.0594537557613</c:v>
                </c:pt>
                <c:pt idx="17">
                  <c:v>2291.4795866949153</c:v>
                </c:pt>
                <c:pt idx="18">
                  <c:v>2241.6693593702294</c:v>
                </c:pt>
                <c:pt idx="19">
                  <c:v>2309.0913000000005</c:v>
                </c:pt>
                <c:pt idx="20">
                  <c:v>2411.7175800000005</c:v>
                </c:pt>
                <c:pt idx="21">
                  <c:v>2506.3402069679305</c:v>
                </c:pt>
                <c:pt idx="22">
                  <c:v>2955.509990851649</c:v>
                </c:pt>
                <c:pt idx="23">
                  <c:v>3009.5642630076045</c:v>
                </c:pt>
                <c:pt idx="24">
                  <c:v>2827.304041583373</c:v>
                </c:pt>
                <c:pt idx="25">
                  <c:v>2448.6808888486962</c:v>
                </c:pt>
                <c:pt idx="26">
                  <c:v>2387.6870536706906</c:v>
                </c:pt>
                <c:pt idx="27">
                  <c:v>2602.3655005921696</c:v>
                </c:pt>
                <c:pt idx="28">
                  <c:v>2373.394033382312</c:v>
                </c:pt>
                <c:pt idx="29">
                  <c:v>2467.6749940271193</c:v>
                </c:pt>
                <c:pt idx="30">
                  <c:v>2572.6119933097989</c:v>
                </c:pt>
                <c:pt idx="31">
                  <c:v>2632.1836842421881</c:v>
                </c:pt>
                <c:pt idx="32">
                  <c:v>2631.4221667281918</c:v>
                </c:pt>
                <c:pt idx="33">
                  <c:v>2649.8874796553323</c:v>
                </c:pt>
                <c:pt idx="34">
                  <c:v>2712.6976106604207</c:v>
                </c:pt>
                <c:pt idx="35">
                  <c:v>2471.9202037715245</c:v>
                </c:pt>
                <c:pt idx="36">
                  <c:v>2472.3378881973294</c:v>
                </c:pt>
                <c:pt idx="37">
                  <c:v>2596.1171128414103</c:v>
                </c:pt>
                <c:pt idx="38">
                  <c:v>2881.9942848403857</c:v>
                </c:pt>
                <c:pt idx="39">
                  <c:v>2539.8377088010061</c:v>
                </c:pt>
                <c:pt idx="40">
                  <c:v>2661.5065626041132</c:v>
                </c:pt>
                <c:pt idx="41">
                  <c:v>2703.7769902265272</c:v>
                </c:pt>
                <c:pt idx="42">
                  <c:v>2845.4637007513029</c:v>
                </c:pt>
                <c:pt idx="43">
                  <c:v>3090.5453834269979</c:v>
                </c:pt>
                <c:pt idx="44">
                  <c:v>3520.1353328596297</c:v>
                </c:pt>
                <c:pt idx="45">
                  <c:v>3790.8732510155855</c:v>
                </c:pt>
                <c:pt idx="46">
                  <c:v>3840.6459018177329</c:v>
                </c:pt>
                <c:pt idx="47">
                  <c:v>4609.713859067474</c:v>
                </c:pt>
                <c:pt idx="48">
                  <c:v>4595.5549726845093</c:v>
                </c:pt>
                <c:pt idx="49">
                  <c:v>4957.6078543927824</c:v>
                </c:pt>
                <c:pt idx="50">
                  <c:v>5479.4915384978376</c:v>
                </c:pt>
                <c:pt idx="51">
                  <c:v>5454.2811086556994</c:v>
                </c:pt>
                <c:pt idx="52">
                  <c:v>5507.2953931699412</c:v>
                </c:pt>
                <c:pt idx="53">
                  <c:v>5428.0097466462794</c:v>
                </c:pt>
                <c:pt idx="54">
                  <c:v>4475.2028587346695</c:v>
                </c:pt>
                <c:pt idx="55">
                  <c:v>4206.7701135000016</c:v>
                </c:pt>
                <c:pt idx="56">
                  <c:v>4168.7325000000001</c:v>
                </c:pt>
                <c:pt idx="57">
                  <c:v>4161</c:v>
                </c:pt>
                <c:pt idx="58">
                  <c:v>4068.2926829268299</c:v>
                </c:pt>
                <c:pt idx="59">
                  <c:v>3807.2575847709704</c:v>
                </c:pt>
                <c:pt idx="60">
                  <c:v>3714.3976436789958</c:v>
                </c:pt>
              </c:numCache>
            </c:numRef>
          </c:val>
          <c:smooth val="0"/>
          <c:extLst>
            <c:ext xmlns:c16="http://schemas.microsoft.com/office/drawing/2014/chart" uri="{C3380CC4-5D6E-409C-BE32-E72D297353CC}">
              <c16:uniqueId val="{00000000-3119-4B70-AE87-6A922AE87E34}"/>
            </c:ext>
          </c:extLst>
        </c:ser>
        <c:dLbls>
          <c:showLegendKey val="0"/>
          <c:showVal val="0"/>
          <c:showCatName val="0"/>
          <c:showSerName val="0"/>
          <c:showPercent val="0"/>
          <c:showBubbleSize val="0"/>
        </c:dLbls>
        <c:marker val="1"/>
        <c:smooth val="0"/>
        <c:axId val="558293368"/>
        <c:axId val="558291728"/>
      </c:lineChart>
      <c:lineChart>
        <c:grouping val="standard"/>
        <c:varyColors val="0"/>
        <c:ser>
          <c:idx val="1"/>
          <c:order val="1"/>
          <c:tx>
            <c:strRef>
              <c:f>'aid-defence'!$P$6</c:f>
              <c:strCache>
                <c:ptCount val="1"/>
                <c:pt idx="0">
                  <c:v>Defence (rhs)</c:v>
                </c:pt>
              </c:strCache>
            </c:strRef>
          </c:tx>
          <c:spPr>
            <a:ln w="28575" cap="rnd">
              <a:solidFill>
                <a:schemeClr val="accent2"/>
              </a:solidFill>
              <a:round/>
            </a:ln>
            <a:effectLst/>
          </c:spPr>
          <c:marker>
            <c:symbol val="none"/>
          </c:marker>
          <c:cat>
            <c:strRef>
              <c:f>'aid-defence'!$N$9:$N$69</c:f>
              <c:strCache>
                <c:ptCount val="61"/>
                <c:pt idx="0">
                  <c:v>1961-62</c:v>
                </c:pt>
                <c:pt idx="1">
                  <c:v>1962-63</c:v>
                </c:pt>
                <c:pt idx="2">
                  <c:v>1963-64</c:v>
                </c:pt>
                <c:pt idx="3">
                  <c:v>1964-65</c:v>
                </c:pt>
                <c:pt idx="4">
                  <c:v>1965-66</c:v>
                </c:pt>
                <c:pt idx="5">
                  <c:v>1966-67</c:v>
                </c:pt>
                <c:pt idx="6">
                  <c:v>1967-68</c:v>
                </c:pt>
                <c:pt idx="7">
                  <c:v>1968-69</c:v>
                </c:pt>
                <c:pt idx="8">
                  <c:v>1969-70</c:v>
                </c:pt>
                <c:pt idx="9">
                  <c:v>1970-71</c:v>
                </c:pt>
                <c:pt idx="10">
                  <c:v>1971-72</c:v>
                </c:pt>
                <c:pt idx="11">
                  <c:v>1972-73</c:v>
                </c:pt>
                <c:pt idx="12">
                  <c:v>1973-74</c:v>
                </c:pt>
                <c:pt idx="13">
                  <c:v>1974-75</c:v>
                </c:pt>
                <c:pt idx="14">
                  <c:v>1975-76</c:v>
                </c:pt>
                <c:pt idx="15">
                  <c:v>1976-77</c:v>
                </c:pt>
                <c:pt idx="16">
                  <c:v>1977-78</c:v>
                </c:pt>
                <c:pt idx="17">
                  <c:v>1978-79</c:v>
                </c:pt>
                <c:pt idx="18">
                  <c:v>1979-80</c:v>
                </c:pt>
                <c:pt idx="19">
                  <c:v>1980-81</c:v>
                </c:pt>
                <c:pt idx="20">
                  <c:v>1981-82</c:v>
                </c:pt>
                <c:pt idx="21">
                  <c:v>1982-83</c:v>
                </c:pt>
                <c:pt idx="22">
                  <c:v>1983-84</c:v>
                </c:pt>
                <c:pt idx="23">
                  <c:v>1984-85</c:v>
                </c:pt>
                <c:pt idx="24">
                  <c:v>1985-86</c:v>
                </c:pt>
                <c:pt idx="25">
                  <c:v>1986-87</c:v>
                </c:pt>
                <c:pt idx="26">
                  <c:v>1987-88</c:v>
                </c:pt>
                <c:pt idx="27">
                  <c:v>1988-89</c:v>
                </c:pt>
                <c:pt idx="28">
                  <c:v>1989-90</c:v>
                </c:pt>
                <c:pt idx="29">
                  <c:v>1990-91</c:v>
                </c:pt>
                <c:pt idx="30">
                  <c:v>1991-92</c:v>
                </c:pt>
                <c:pt idx="31">
                  <c:v>1992-93</c:v>
                </c:pt>
                <c:pt idx="32">
                  <c:v>1993-94</c:v>
                </c:pt>
                <c:pt idx="33">
                  <c:v>1994-95</c:v>
                </c:pt>
                <c:pt idx="34">
                  <c:v>1995-96</c:v>
                </c:pt>
                <c:pt idx="35">
                  <c:v>1996-97</c:v>
                </c:pt>
                <c:pt idx="36">
                  <c:v>1997-98</c:v>
                </c:pt>
                <c:pt idx="37">
                  <c:v>1998-99</c:v>
                </c:pt>
                <c:pt idx="38">
                  <c:v>1999-00</c:v>
                </c:pt>
                <c:pt idx="39">
                  <c:v>2000-01</c:v>
                </c:pt>
                <c:pt idx="40">
                  <c:v>2001-02</c:v>
                </c:pt>
                <c:pt idx="41">
                  <c:v>2002-03</c:v>
                </c:pt>
                <c:pt idx="42">
                  <c:v>2003-04</c:v>
                </c:pt>
                <c:pt idx="43">
                  <c:v>2004-05</c:v>
                </c:pt>
                <c:pt idx="44">
                  <c:v>2005-06</c:v>
                </c:pt>
                <c:pt idx="45">
                  <c:v>2006-07</c:v>
                </c:pt>
                <c:pt idx="46">
                  <c:v>2007-08</c:v>
                </c:pt>
                <c:pt idx="47">
                  <c:v>2008-09</c:v>
                </c:pt>
                <c:pt idx="48">
                  <c:v>2009-10</c:v>
                </c:pt>
                <c:pt idx="49">
                  <c:v>2010-11</c:v>
                </c:pt>
                <c:pt idx="50">
                  <c:v>2011-12</c:v>
                </c:pt>
                <c:pt idx="51">
                  <c:v>2012-13</c:v>
                </c:pt>
                <c:pt idx="52">
                  <c:v>2013-14</c:v>
                </c:pt>
                <c:pt idx="53">
                  <c:v>2014-15</c:v>
                </c:pt>
                <c:pt idx="54">
                  <c:v>2015-16</c:v>
                </c:pt>
                <c:pt idx="55">
                  <c:v>2016-17</c:v>
                </c:pt>
                <c:pt idx="56">
                  <c:v>2017-18</c:v>
                </c:pt>
                <c:pt idx="57">
                  <c:v>2018-19</c:v>
                </c:pt>
                <c:pt idx="58">
                  <c:v>2019-20</c:v>
                </c:pt>
                <c:pt idx="59">
                  <c:v>2020-21</c:v>
                </c:pt>
                <c:pt idx="60">
                  <c:v>2021-22</c:v>
                </c:pt>
              </c:strCache>
            </c:strRef>
          </c:cat>
          <c:val>
            <c:numRef>
              <c:f>'aid-defence'!$P$9:$P$69</c:f>
              <c:numCache>
                <c:formatCode>General</c:formatCode>
                <c:ptCount val="61"/>
                <c:pt idx="0">
                  <c:v>6468.4160134615395</c:v>
                </c:pt>
                <c:pt idx="1">
                  <c:v>7312.1224500000008</c:v>
                </c:pt>
                <c:pt idx="2">
                  <c:v>8449.8309759375006</c:v>
                </c:pt>
                <c:pt idx="3">
                  <c:v>9778.8625536144591</c:v>
                </c:pt>
                <c:pt idx="4">
                  <c:v>11827.3804377907</c:v>
                </c:pt>
                <c:pt idx="5">
                  <c:v>13874.00643455056</c:v>
                </c:pt>
                <c:pt idx="6">
                  <c:v>14971.031505494508</c:v>
                </c:pt>
                <c:pt idx="7">
                  <c:v>14419.538224468086</c:v>
                </c:pt>
                <c:pt idx="8">
                  <c:v>13574.838286855673</c:v>
                </c:pt>
                <c:pt idx="9">
                  <c:v>13305.572662500001</c:v>
                </c:pt>
                <c:pt idx="10">
                  <c:v>13187.241598623856</c:v>
                </c:pt>
                <c:pt idx="11">
                  <c:v>12773.384288771185</c:v>
                </c:pt>
                <c:pt idx="12">
                  <c:v>12674.345580000003</c:v>
                </c:pt>
                <c:pt idx="13">
                  <c:v>12663.465895253168</c:v>
                </c:pt>
                <c:pt idx="14">
                  <c:v>13029.406417372884</c:v>
                </c:pt>
                <c:pt idx="15">
                  <c:v>12952.738511194029</c:v>
                </c:pt>
                <c:pt idx="16">
                  <c:v>13091.057934677425</c:v>
                </c:pt>
                <c:pt idx="17">
                  <c:v>13570.803530084746</c:v>
                </c:pt>
                <c:pt idx="18">
                  <c:v>14156.40420085878</c:v>
                </c:pt>
                <c:pt idx="19">
                  <c:v>15295.697211707749</c:v>
                </c:pt>
                <c:pt idx="20">
                  <c:v>16114.158572142862</c:v>
                </c:pt>
                <c:pt idx="21">
                  <c:v>16857.039694460644</c:v>
                </c:pt>
                <c:pt idx="22">
                  <c:v>17801.888628090666</c:v>
                </c:pt>
                <c:pt idx="23">
                  <c:v>18691.439434213928</c:v>
                </c:pt>
                <c:pt idx="24">
                  <c:v>18899.17184554632</c:v>
                </c:pt>
                <c:pt idx="25">
                  <c:v>18127.621645923919</c:v>
                </c:pt>
                <c:pt idx="26">
                  <c:v>17493.825568965523</c:v>
                </c:pt>
                <c:pt idx="27">
                  <c:v>17355.217346320755</c:v>
                </c:pt>
                <c:pt idx="28">
                  <c:v>17365.701077101581</c:v>
                </c:pt>
                <c:pt idx="29">
                  <c:v>17644.001446144073</c:v>
                </c:pt>
                <c:pt idx="30">
                  <c:v>18122.692271608041</c:v>
                </c:pt>
                <c:pt idx="31">
                  <c:v>18804.092597245071</c:v>
                </c:pt>
                <c:pt idx="32">
                  <c:v>19030.418848061399</c:v>
                </c:pt>
                <c:pt idx="33">
                  <c:v>18453.993569513135</c:v>
                </c:pt>
                <c:pt idx="34">
                  <c:v>18143.849330284862</c:v>
                </c:pt>
                <c:pt idx="35">
                  <c:v>18455.472617488787</c:v>
                </c:pt>
                <c:pt idx="36">
                  <c:v>19380.607543175076</c:v>
                </c:pt>
                <c:pt idx="37">
                  <c:v>20418.16525077093</c:v>
                </c:pt>
                <c:pt idx="38">
                  <c:v>20633.803026923084</c:v>
                </c:pt>
                <c:pt idx="39">
                  <c:v>21103.389783724826</c:v>
                </c:pt>
                <c:pt idx="40">
                  <c:v>22045.642232016977</c:v>
                </c:pt>
                <c:pt idx="41">
                  <c:v>22482.793535496192</c:v>
                </c:pt>
                <c:pt idx="42">
                  <c:v>21754.877357624071</c:v>
                </c:pt>
                <c:pt idx="43">
                  <c:v>22645.986609467614</c:v>
                </c:pt>
                <c:pt idx="44">
                  <c:v>22990.943324911121</c:v>
                </c:pt>
                <c:pt idx="45">
                  <c:v>25218.253538434034</c:v>
                </c:pt>
                <c:pt idx="46">
                  <c:v>25545.686281788541</c:v>
                </c:pt>
                <c:pt idx="47">
                  <c:v>27575.070124722341</c:v>
                </c:pt>
                <c:pt idx="48">
                  <c:v>29442.089108412059</c:v>
                </c:pt>
                <c:pt idx="49">
                  <c:v>28013.505759671829</c:v>
                </c:pt>
                <c:pt idx="50">
                  <c:v>29031.402252685155</c:v>
                </c:pt>
                <c:pt idx="51">
                  <c:v>26210.37966711523</c:v>
                </c:pt>
                <c:pt idx="52">
                  <c:v>28410.472815483572</c:v>
                </c:pt>
                <c:pt idx="53">
                  <c:v>31184.120129094841</c:v>
                </c:pt>
                <c:pt idx="54">
                  <c:v>33894.230532909118</c:v>
                </c:pt>
                <c:pt idx="55">
                  <c:v>33251.204660100011</c:v>
                </c:pt>
                <c:pt idx="56">
                  <c:v>35958.278972499997</c:v>
                </c:pt>
                <c:pt idx="57">
                  <c:v>35530.707000000002</c:v>
                </c:pt>
                <c:pt idx="58">
                  <c:v>36307.347317073181</c:v>
                </c:pt>
                <c:pt idx="59">
                  <c:v>38505.619988102328</c:v>
                </c:pt>
                <c:pt idx="60">
                  <c:v>40954.973491388708</c:v>
                </c:pt>
              </c:numCache>
            </c:numRef>
          </c:val>
          <c:smooth val="0"/>
          <c:extLst>
            <c:ext xmlns:c16="http://schemas.microsoft.com/office/drawing/2014/chart" uri="{C3380CC4-5D6E-409C-BE32-E72D297353CC}">
              <c16:uniqueId val="{00000001-3119-4B70-AE87-6A922AE87E34}"/>
            </c:ext>
          </c:extLst>
        </c:ser>
        <c:dLbls>
          <c:showLegendKey val="0"/>
          <c:showVal val="0"/>
          <c:showCatName val="0"/>
          <c:showSerName val="0"/>
          <c:showPercent val="0"/>
          <c:showBubbleSize val="0"/>
        </c:dLbls>
        <c:marker val="1"/>
        <c:smooth val="0"/>
        <c:axId val="552419136"/>
        <c:axId val="552416512"/>
      </c:lineChart>
      <c:catAx>
        <c:axId val="558293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8291728"/>
        <c:crosses val="autoZero"/>
        <c:auto val="1"/>
        <c:lblAlgn val="ctr"/>
        <c:lblOffset val="100"/>
        <c:noMultiLvlLbl val="0"/>
      </c:catAx>
      <c:valAx>
        <c:axId val="5582917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8293368"/>
        <c:crosses val="autoZero"/>
        <c:crossBetween val="between"/>
        <c:dispUnits>
          <c:builtInUnit val="thousand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Aid ($b)</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valAx>
        <c:axId val="552416512"/>
        <c:scaling>
          <c:orientation val="minMax"/>
          <c:max val="6000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2419136"/>
        <c:crosses val="max"/>
        <c:crossBetween val="between"/>
        <c:dispUnits>
          <c:builtInUnit val="thousand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Defence ($b)</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catAx>
        <c:axId val="552419136"/>
        <c:scaling>
          <c:orientation val="minMax"/>
        </c:scaling>
        <c:delete val="1"/>
        <c:axPos val="b"/>
        <c:numFmt formatCode="General" sourceLinked="1"/>
        <c:majorTickMark val="out"/>
        <c:minorTickMark val="none"/>
        <c:tickLblPos val="nextTo"/>
        <c:crossAx val="5524165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'aid-defence'!$B$98</c:f>
              <c:strCache>
                <c:ptCount val="1"/>
                <c:pt idx="0">
                  <c:v>Aid</c:v>
                </c:pt>
              </c:strCache>
            </c:strRef>
          </c:tx>
          <c:spPr>
            <a:solidFill>
              <a:schemeClr val="accent1"/>
            </a:solidFill>
            <a:ln>
              <a:noFill/>
            </a:ln>
            <a:effectLst/>
          </c:spPr>
          <c:invertIfNegative val="0"/>
          <c:cat>
            <c:strRef>
              <c:f>'aid-defence'!$A$99:$A$105</c:f>
              <c:strCache>
                <c:ptCount val="7"/>
                <c:pt idx="0">
                  <c:v>1961-2 to 1970-1</c:v>
                </c:pt>
                <c:pt idx="1">
                  <c:v>Whitlam (70-1 to 74-5)</c:v>
                </c:pt>
                <c:pt idx="2">
                  <c:v>Fraser (74-5 to 82-3)</c:v>
                </c:pt>
                <c:pt idx="3">
                  <c:v>Hawke/Keating (82-3 to 95-6)</c:v>
                </c:pt>
                <c:pt idx="4">
                  <c:v>Howard (95-6 to 06-7)</c:v>
                </c:pt>
                <c:pt idx="5">
                  <c:v>Rudd/Gillard (2006-07 to 201213)</c:v>
                </c:pt>
                <c:pt idx="6">
                  <c:v>Abbott/Turnbull (2012-13 to 2018-19)</c:v>
                </c:pt>
              </c:strCache>
            </c:strRef>
          </c:cat>
          <c:val>
            <c:numRef>
              <c:f>'aid-defence'!$B$99:$B$105</c:f>
              <c:numCache>
                <c:formatCode>0.0%</c:formatCode>
                <c:ptCount val="7"/>
                <c:pt idx="0">
                  <c:v>8.6578788948455498E-2</c:v>
                </c:pt>
                <c:pt idx="1">
                  <c:v>5.1497193771561145E-2</c:v>
                </c:pt>
                <c:pt idx="2">
                  <c:v>3.1017954864711594E-3</c:v>
                </c:pt>
                <c:pt idx="3">
                  <c:v>6.1047093122752472E-3</c:v>
                </c:pt>
                <c:pt idx="4">
                  <c:v>3.0890492840515371E-2</c:v>
                </c:pt>
                <c:pt idx="5">
                  <c:v>6.2510039281344909E-2</c:v>
                </c:pt>
                <c:pt idx="6">
                  <c:v>-4.4105345276034713E-2</c:v>
                </c:pt>
              </c:numCache>
            </c:numRef>
          </c:val>
          <c:extLst>
            <c:ext xmlns:c16="http://schemas.microsoft.com/office/drawing/2014/chart" uri="{C3380CC4-5D6E-409C-BE32-E72D297353CC}">
              <c16:uniqueId val="{00000000-2C15-4A0E-B5A6-B924426B6CA5}"/>
            </c:ext>
          </c:extLst>
        </c:ser>
        <c:ser>
          <c:idx val="1"/>
          <c:order val="1"/>
          <c:tx>
            <c:strRef>
              <c:f>'aid-defence'!$C$98</c:f>
              <c:strCache>
                <c:ptCount val="1"/>
                <c:pt idx="0">
                  <c:v>Defence</c:v>
                </c:pt>
              </c:strCache>
            </c:strRef>
          </c:tx>
          <c:spPr>
            <a:solidFill>
              <a:schemeClr val="accent2"/>
            </a:solidFill>
            <a:ln>
              <a:noFill/>
            </a:ln>
            <a:effectLst/>
          </c:spPr>
          <c:invertIfNegative val="0"/>
          <c:cat>
            <c:strRef>
              <c:f>'aid-defence'!$A$99:$A$105</c:f>
              <c:strCache>
                <c:ptCount val="7"/>
                <c:pt idx="0">
                  <c:v>1961-2 to 1970-1</c:v>
                </c:pt>
                <c:pt idx="1">
                  <c:v>Whitlam (70-1 to 74-5)</c:v>
                </c:pt>
                <c:pt idx="2">
                  <c:v>Fraser (74-5 to 82-3)</c:v>
                </c:pt>
                <c:pt idx="3">
                  <c:v>Hawke/Keating (82-3 to 95-6)</c:v>
                </c:pt>
                <c:pt idx="4">
                  <c:v>Howard (95-6 to 06-7)</c:v>
                </c:pt>
                <c:pt idx="5">
                  <c:v>Rudd/Gillard (2006-07 to 201213)</c:v>
                </c:pt>
                <c:pt idx="6">
                  <c:v>Abbott/Turnbull (2012-13 to 2018-19)</c:v>
                </c:pt>
              </c:strCache>
            </c:strRef>
          </c:cat>
          <c:val>
            <c:numRef>
              <c:f>'aid-defence'!$C$99:$C$105</c:f>
              <c:numCache>
                <c:formatCode>0.0%</c:formatCode>
                <c:ptCount val="7"/>
                <c:pt idx="0">
                  <c:v>8.3437737659867173E-2</c:v>
                </c:pt>
                <c:pt idx="1">
                  <c:v>-1.2289311481179732E-2</c:v>
                </c:pt>
                <c:pt idx="2">
                  <c:v>3.6402830837036104E-2</c:v>
                </c:pt>
                <c:pt idx="3">
                  <c:v>5.6747536685006761E-3</c:v>
                </c:pt>
                <c:pt idx="4">
                  <c:v>3.0383009370212655E-2</c:v>
                </c:pt>
                <c:pt idx="5">
                  <c:v>6.4519621022323115E-3</c:v>
                </c:pt>
                <c:pt idx="6">
                  <c:v>5.2014573773635275E-2</c:v>
                </c:pt>
              </c:numCache>
            </c:numRef>
          </c:val>
          <c:extLst>
            <c:ext xmlns:c16="http://schemas.microsoft.com/office/drawing/2014/chart" uri="{C3380CC4-5D6E-409C-BE32-E72D297353CC}">
              <c16:uniqueId val="{00000001-2C15-4A0E-B5A6-B924426B6CA5}"/>
            </c:ext>
          </c:extLst>
        </c:ser>
        <c:ser>
          <c:idx val="2"/>
          <c:order val="2"/>
          <c:tx>
            <c:strRef>
              <c:f>'aid-defence'!$D$98</c:f>
              <c:strCache>
                <c:ptCount val="1"/>
                <c:pt idx="0">
                  <c:v>Total expenditure</c:v>
                </c:pt>
              </c:strCache>
            </c:strRef>
          </c:tx>
          <c:spPr>
            <a:solidFill>
              <a:schemeClr val="accent3"/>
            </a:solidFill>
            <a:ln>
              <a:noFill/>
            </a:ln>
            <a:effectLst/>
          </c:spPr>
          <c:invertIfNegative val="0"/>
          <c:cat>
            <c:strRef>
              <c:f>'aid-defence'!$A$99:$A$105</c:f>
              <c:strCache>
                <c:ptCount val="7"/>
                <c:pt idx="0">
                  <c:v>1961-2 to 1970-1</c:v>
                </c:pt>
                <c:pt idx="1">
                  <c:v>Whitlam (70-1 to 74-5)</c:v>
                </c:pt>
                <c:pt idx="2">
                  <c:v>Fraser (74-5 to 82-3)</c:v>
                </c:pt>
                <c:pt idx="3">
                  <c:v>Hawke/Keating (82-3 to 95-6)</c:v>
                </c:pt>
                <c:pt idx="4">
                  <c:v>Howard (95-6 to 06-7)</c:v>
                </c:pt>
                <c:pt idx="5">
                  <c:v>Rudd/Gillard (2006-07 to 201213)</c:v>
                </c:pt>
                <c:pt idx="6">
                  <c:v>Abbott/Turnbull (2012-13 to 2018-19)</c:v>
                </c:pt>
              </c:strCache>
            </c:strRef>
          </c:cat>
          <c:val>
            <c:numRef>
              <c:f>'aid-defence'!$D$99:$D$105</c:f>
              <c:numCache>
                <c:formatCode>0.0%</c:formatCode>
                <c:ptCount val="7"/>
                <c:pt idx="1">
                  <c:v>7.8109302882116483E-2</c:v>
                </c:pt>
                <c:pt idx="2">
                  <c:v>4.790581982703257E-2</c:v>
                </c:pt>
                <c:pt idx="3">
                  <c:v>2.7783357101445638E-2</c:v>
                </c:pt>
                <c:pt idx="4">
                  <c:v>3.2488263786479399E-2</c:v>
                </c:pt>
                <c:pt idx="5">
                  <c:v>3.6033459204910967E-2</c:v>
                </c:pt>
                <c:pt idx="6">
                  <c:v>2.725043843662811E-2</c:v>
                </c:pt>
              </c:numCache>
            </c:numRef>
          </c:val>
          <c:extLst>
            <c:ext xmlns:c16="http://schemas.microsoft.com/office/drawing/2014/chart" uri="{C3380CC4-5D6E-409C-BE32-E72D297353CC}">
              <c16:uniqueId val="{00000002-2C15-4A0E-B5A6-B924426B6CA5}"/>
            </c:ext>
          </c:extLst>
        </c:ser>
        <c:dLbls>
          <c:showLegendKey val="0"/>
          <c:showVal val="0"/>
          <c:showCatName val="0"/>
          <c:showSerName val="0"/>
          <c:showPercent val="0"/>
          <c:showBubbleSize val="0"/>
        </c:dLbls>
        <c:gapWidth val="219"/>
        <c:overlap val="-27"/>
        <c:axId val="422570904"/>
        <c:axId val="422581072"/>
      </c:barChart>
      <c:catAx>
        <c:axId val="42257090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581072"/>
        <c:crosses val="autoZero"/>
        <c:auto val="1"/>
        <c:lblAlgn val="ctr"/>
        <c:lblOffset val="100"/>
        <c:noMultiLvlLbl val="0"/>
      </c:catAx>
      <c:valAx>
        <c:axId val="4225810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570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AU" sz="2000" b="1" i="0" baseline="0">
                <a:effectLst/>
              </a:rPr>
              <a:t>ODA/GNI ratio (%)</a:t>
            </a:r>
            <a:endParaRPr lang="en-GB" sz="2000">
              <a:effectLst/>
            </a:endParaRPr>
          </a:p>
        </c:rich>
      </c:tx>
      <c:layout>
        <c:manualLayout>
          <c:xMode val="edge"/>
          <c:yMode val="edge"/>
          <c:x val="0.38741407860498117"/>
          <c:y val="3.5138941417574281E-2"/>
        </c:manualLayout>
      </c:layout>
      <c:overlay val="1"/>
    </c:title>
    <c:autoTitleDeleted val="0"/>
    <c:plotArea>
      <c:layout>
        <c:manualLayout>
          <c:layoutTarget val="inner"/>
          <c:xMode val="edge"/>
          <c:yMode val="edge"/>
          <c:x val="6.1058965642024003E-2"/>
          <c:y val="2.7422208534612504E-2"/>
          <c:w val="0.91631761352349428"/>
          <c:h val="0.84133735703654644"/>
        </c:manualLayout>
      </c:layout>
      <c:lineChart>
        <c:grouping val="standard"/>
        <c:varyColors val="0"/>
        <c:ser>
          <c:idx val="0"/>
          <c:order val="0"/>
          <c:marker>
            <c:symbol val="none"/>
          </c:marker>
          <c:cat>
            <c:strRef>
              <c:f>'ODA-GNI time series'!$A$12:$A$72</c:f>
              <c:strCache>
                <c:ptCount val="61"/>
                <c:pt idx="0">
                  <c:v>1961-62</c:v>
                </c:pt>
                <c:pt idx="1">
                  <c:v>1962-63</c:v>
                </c:pt>
                <c:pt idx="2">
                  <c:v>1963-64</c:v>
                </c:pt>
                <c:pt idx="3">
                  <c:v>1964-65</c:v>
                </c:pt>
                <c:pt idx="4">
                  <c:v>1965-66</c:v>
                </c:pt>
                <c:pt idx="5">
                  <c:v>1966-67</c:v>
                </c:pt>
                <c:pt idx="6">
                  <c:v>1967-68</c:v>
                </c:pt>
                <c:pt idx="7">
                  <c:v>1968-69</c:v>
                </c:pt>
                <c:pt idx="8">
                  <c:v>1969-70</c:v>
                </c:pt>
                <c:pt idx="9">
                  <c:v>1970-71</c:v>
                </c:pt>
                <c:pt idx="10">
                  <c:v>1971-72</c:v>
                </c:pt>
                <c:pt idx="11">
                  <c:v>1972-73</c:v>
                </c:pt>
                <c:pt idx="12">
                  <c:v>1973-74</c:v>
                </c:pt>
                <c:pt idx="13">
                  <c:v>1974-75</c:v>
                </c:pt>
                <c:pt idx="14">
                  <c:v>1975-76</c:v>
                </c:pt>
                <c:pt idx="15">
                  <c:v>1976-77</c:v>
                </c:pt>
                <c:pt idx="16">
                  <c:v>1977-78</c:v>
                </c:pt>
                <c:pt idx="17">
                  <c:v>1978-79</c:v>
                </c:pt>
                <c:pt idx="18">
                  <c:v>1979-80</c:v>
                </c:pt>
                <c:pt idx="19">
                  <c:v>1980-81</c:v>
                </c:pt>
                <c:pt idx="20">
                  <c:v>1981-82</c:v>
                </c:pt>
                <c:pt idx="21">
                  <c:v>1982-83</c:v>
                </c:pt>
                <c:pt idx="22">
                  <c:v>1983-84</c:v>
                </c:pt>
                <c:pt idx="23">
                  <c:v>1984-85</c:v>
                </c:pt>
                <c:pt idx="24">
                  <c:v>1985-86</c:v>
                </c:pt>
                <c:pt idx="25">
                  <c:v>1986-87</c:v>
                </c:pt>
                <c:pt idx="26">
                  <c:v>1987-88</c:v>
                </c:pt>
                <c:pt idx="27">
                  <c:v>1988-89</c:v>
                </c:pt>
                <c:pt idx="28">
                  <c:v>1989-90</c:v>
                </c:pt>
                <c:pt idx="29">
                  <c:v>1990-91</c:v>
                </c:pt>
                <c:pt idx="30">
                  <c:v>1991-92</c:v>
                </c:pt>
                <c:pt idx="31">
                  <c:v>1992-93</c:v>
                </c:pt>
                <c:pt idx="32">
                  <c:v>1993-94</c:v>
                </c:pt>
                <c:pt idx="33">
                  <c:v>1994-95</c:v>
                </c:pt>
                <c:pt idx="34">
                  <c:v>1995-96</c:v>
                </c:pt>
                <c:pt idx="35">
                  <c:v>1996-97</c:v>
                </c:pt>
                <c:pt idx="36">
                  <c:v>1997-98</c:v>
                </c:pt>
                <c:pt idx="37">
                  <c:v>1998-99</c:v>
                </c:pt>
                <c:pt idx="38">
                  <c:v>1999-00</c:v>
                </c:pt>
                <c:pt idx="39">
                  <c:v>2000-01</c:v>
                </c:pt>
                <c:pt idx="40">
                  <c:v>2001-02</c:v>
                </c:pt>
                <c:pt idx="41">
                  <c:v>2002-03</c:v>
                </c:pt>
                <c:pt idx="42">
                  <c:v>2003-04</c:v>
                </c:pt>
                <c:pt idx="43">
                  <c:v>2004-05</c:v>
                </c:pt>
                <c:pt idx="44">
                  <c:v>2005-06</c:v>
                </c:pt>
                <c:pt idx="45">
                  <c:v>2006-07</c:v>
                </c:pt>
                <c:pt idx="46">
                  <c:v>2007-08</c:v>
                </c:pt>
                <c:pt idx="47">
                  <c:v>2008-09</c:v>
                </c:pt>
                <c:pt idx="48">
                  <c:v>2009-10</c:v>
                </c:pt>
                <c:pt idx="49">
                  <c:v>2010-11</c:v>
                </c:pt>
                <c:pt idx="50">
                  <c:v>2011-12</c:v>
                </c:pt>
                <c:pt idx="51">
                  <c:v>2012-13</c:v>
                </c:pt>
                <c:pt idx="52">
                  <c:v>2013-14</c:v>
                </c:pt>
                <c:pt idx="53">
                  <c:v>2014-15</c:v>
                </c:pt>
                <c:pt idx="54">
                  <c:v>2015-16</c:v>
                </c:pt>
                <c:pt idx="55">
                  <c:v>2016-17</c:v>
                </c:pt>
                <c:pt idx="56">
                  <c:v>2017-18</c:v>
                </c:pt>
                <c:pt idx="57">
                  <c:v>2018-19</c:v>
                </c:pt>
                <c:pt idx="58">
                  <c:v>2019-20</c:v>
                </c:pt>
                <c:pt idx="59">
                  <c:v>2020-21</c:v>
                </c:pt>
                <c:pt idx="60">
                  <c:v>2021-22</c:v>
                </c:pt>
              </c:strCache>
            </c:strRef>
          </c:cat>
          <c:val>
            <c:numRef>
              <c:f>'ODA-GNI time series'!$I$12:$I$72</c:f>
              <c:numCache>
                <c:formatCode>0.000</c:formatCode>
                <c:ptCount val="61"/>
                <c:pt idx="0">
                  <c:v>0.35942940581826349</c:v>
                </c:pt>
                <c:pt idx="1">
                  <c:v>0.3918495297805642</c:v>
                </c:pt>
                <c:pt idx="2">
                  <c:v>0.40554560030180137</c:v>
                </c:pt>
                <c:pt idx="3">
                  <c:v>0.41253822629969417</c:v>
                </c:pt>
                <c:pt idx="4">
                  <c:v>0.44110356186946675</c:v>
                </c:pt>
                <c:pt idx="5">
                  <c:v>0.46173948550428745</c:v>
                </c:pt>
                <c:pt idx="6">
                  <c:v>0.48373147763467672</c:v>
                </c:pt>
                <c:pt idx="7">
                  <c:v>0.4646883536131115</c:v>
                </c:pt>
                <c:pt idx="8">
                  <c:v>0.45502869223799458</c:v>
                </c:pt>
                <c:pt idx="9">
                  <c:v>0.44334604576475312</c:v>
                </c:pt>
                <c:pt idx="10">
                  <c:v>0.45282081394823609</c:v>
                </c:pt>
                <c:pt idx="11">
                  <c:v>0.44047906116871632</c:v>
                </c:pt>
                <c:pt idx="12">
                  <c:v>0.44113238967527058</c:v>
                </c:pt>
                <c:pt idx="13">
                  <c:v>0.46928471248246845</c:v>
                </c:pt>
                <c:pt idx="14">
                  <c:v>0.42777664291464895</c:v>
                </c:pt>
                <c:pt idx="15">
                  <c:v>0.40491093427274344</c:v>
                </c:pt>
                <c:pt idx="16">
                  <c:v>0.41116643507796824</c:v>
                </c:pt>
                <c:pt idx="17">
                  <c:v>0.39995901359382469</c:v>
                </c:pt>
                <c:pt idx="18">
                  <c:v>0.38253009783205372</c:v>
                </c:pt>
                <c:pt idx="19">
                  <c:v>0.37466277052564922</c:v>
                </c:pt>
                <c:pt idx="20">
                  <c:v>0.38202951729583484</c:v>
                </c:pt>
                <c:pt idx="21">
                  <c:v>0.39673490265449002</c:v>
                </c:pt>
                <c:pt idx="22">
                  <c:v>0.44207649754718231</c:v>
                </c:pt>
                <c:pt idx="23">
                  <c:v>0.43658562906303144</c:v>
                </c:pt>
                <c:pt idx="24">
                  <c:v>0.40336001627581236</c:v>
                </c:pt>
                <c:pt idx="25">
                  <c:v>0.34783799201369081</c:v>
                </c:pt>
                <c:pt idx="26">
                  <c:v>0.32081541080480674</c:v>
                </c:pt>
                <c:pt idx="27">
                  <c:v>0.33426854997117961</c:v>
                </c:pt>
                <c:pt idx="28">
                  <c:v>0.30129470771536965</c:v>
                </c:pt>
                <c:pt idx="29">
                  <c:v>0.31715021528308718</c:v>
                </c:pt>
                <c:pt idx="30">
                  <c:v>0.32773412959445375</c:v>
                </c:pt>
                <c:pt idx="31">
                  <c:v>0.32139511697465739</c:v>
                </c:pt>
                <c:pt idx="32">
                  <c:v>0.30992618791327081</c:v>
                </c:pt>
                <c:pt idx="33">
                  <c:v>0.31099643762919094</c:v>
                </c:pt>
                <c:pt idx="34">
                  <c:v>0.30794942081527987</c:v>
                </c:pt>
                <c:pt idx="35">
                  <c:v>0.26692887119738207</c:v>
                </c:pt>
                <c:pt idx="36">
                  <c:v>0.25341815136260759</c:v>
                </c:pt>
                <c:pt idx="37">
                  <c:v>0.25504238770173715</c:v>
                </c:pt>
                <c:pt idx="38">
                  <c:v>0.27304972053720433</c:v>
                </c:pt>
                <c:pt idx="39">
                  <c:v>0.23926312746723974</c:v>
                </c:pt>
                <c:pt idx="40">
                  <c:v>0.2407579352094241</c:v>
                </c:pt>
                <c:pt idx="41">
                  <c:v>0.23657824047297729</c:v>
                </c:pt>
                <c:pt idx="42">
                  <c:v>0.2377162120439712</c:v>
                </c:pt>
                <c:pt idx="43">
                  <c:v>0.24925238196157298</c:v>
                </c:pt>
                <c:pt idx="44">
                  <c:v>0.27369803747590937</c:v>
                </c:pt>
                <c:pt idx="45">
                  <c:v>0.27776905784646727</c:v>
                </c:pt>
                <c:pt idx="46">
                  <c:v>0.27022904391088537</c:v>
                </c:pt>
                <c:pt idx="47">
                  <c:v>0.30550706077530992</c:v>
                </c:pt>
                <c:pt idx="48">
                  <c:v>0.30541712394700171</c:v>
                </c:pt>
                <c:pt idx="49">
                  <c:v>0.31381903816069484</c:v>
                </c:pt>
                <c:pt idx="50">
                  <c:v>0.3283498267419907</c:v>
                </c:pt>
                <c:pt idx="51">
                  <c:v>0.32470130218081011</c:v>
                </c:pt>
                <c:pt idx="52">
                  <c:v>0.32507758120491226</c:v>
                </c:pt>
                <c:pt idx="53">
                  <c:v>0.31827318937253862</c:v>
                </c:pt>
                <c:pt idx="54">
                  <c:v>0.25948087908321676</c:v>
                </c:pt>
                <c:pt idx="55">
                  <c:v>0.23735024126162177</c:v>
                </c:pt>
                <c:pt idx="56">
                  <c:v>0.23008904979546074</c:v>
                </c:pt>
                <c:pt idx="57">
                  <c:v>0.22634184389039</c:v>
                </c:pt>
                <c:pt idx="58">
                  <c:v>0.21654549697421649</c:v>
                </c:pt>
                <c:pt idx="59">
                  <c:v>0.19877273023231923</c:v>
                </c:pt>
                <c:pt idx="60">
                  <c:v>0.19021313897829598</c:v>
                </c:pt>
              </c:numCache>
            </c:numRef>
          </c:val>
          <c:smooth val="0"/>
          <c:extLst>
            <c:ext xmlns:c16="http://schemas.microsoft.com/office/drawing/2014/chart" uri="{C3380CC4-5D6E-409C-BE32-E72D297353CC}">
              <c16:uniqueId val="{00000000-2CBD-46E6-948D-B8CF53B54F73}"/>
            </c:ext>
          </c:extLst>
        </c:ser>
        <c:dLbls>
          <c:showLegendKey val="0"/>
          <c:showVal val="0"/>
          <c:showCatName val="0"/>
          <c:showSerName val="0"/>
          <c:showPercent val="0"/>
          <c:showBubbleSize val="0"/>
        </c:dLbls>
        <c:smooth val="0"/>
        <c:axId val="152147616"/>
        <c:axId val="152148008"/>
      </c:lineChart>
      <c:catAx>
        <c:axId val="152147616"/>
        <c:scaling>
          <c:orientation val="minMax"/>
        </c:scaling>
        <c:delete val="0"/>
        <c:axPos val="b"/>
        <c:numFmt formatCode="General" sourceLinked="0"/>
        <c:majorTickMark val="out"/>
        <c:minorTickMark val="none"/>
        <c:tickLblPos val="nextTo"/>
        <c:txPr>
          <a:bodyPr/>
          <a:lstStyle/>
          <a:p>
            <a:pPr>
              <a:defRPr sz="800"/>
            </a:pPr>
            <a:endParaRPr lang="en-US"/>
          </a:p>
        </c:txPr>
        <c:crossAx val="152148008"/>
        <c:crosses val="autoZero"/>
        <c:auto val="1"/>
        <c:lblAlgn val="ctr"/>
        <c:lblOffset val="100"/>
        <c:noMultiLvlLbl val="0"/>
      </c:catAx>
      <c:valAx>
        <c:axId val="152148008"/>
        <c:scaling>
          <c:orientation val="minMax"/>
          <c:min val="0.15000000000000002"/>
        </c:scaling>
        <c:delete val="0"/>
        <c:axPos val="l"/>
        <c:majorGridlines>
          <c:spPr>
            <a:ln>
              <a:solidFill>
                <a:schemeClr val="bg1">
                  <a:lumMod val="75000"/>
                </a:schemeClr>
              </a:solidFill>
            </a:ln>
          </c:spPr>
        </c:majorGridlines>
        <c:numFmt formatCode="0.00" sourceLinked="0"/>
        <c:majorTickMark val="out"/>
        <c:minorTickMark val="none"/>
        <c:tickLblPos val="nextTo"/>
        <c:txPr>
          <a:bodyPr/>
          <a:lstStyle/>
          <a:p>
            <a:pPr>
              <a:defRPr sz="1400"/>
            </a:pPr>
            <a:endParaRPr lang="en-US"/>
          </a:p>
        </c:txPr>
        <c:crossAx val="152147616"/>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'ODA-GNI time series'!$R$4</c:f>
              <c:strCache>
                <c:ptCount val="1"/>
              </c:strCache>
            </c:strRef>
          </c:tx>
          <c:spPr>
            <a:ln w="28575" cap="rnd">
              <a:solidFill>
                <a:schemeClr val="accent1"/>
              </a:solidFill>
              <a:round/>
            </a:ln>
            <a:effectLst/>
          </c:spPr>
          <c:marker>
            <c:symbol val="none"/>
          </c:marker>
          <c:cat>
            <c:strRef>
              <c:f>'ODA-GNI time series'!$A$12:$A$72</c:f>
              <c:strCache>
                <c:ptCount val="61"/>
                <c:pt idx="0">
                  <c:v>1961-62</c:v>
                </c:pt>
                <c:pt idx="1">
                  <c:v>1962-63</c:v>
                </c:pt>
                <c:pt idx="2">
                  <c:v>1963-64</c:v>
                </c:pt>
                <c:pt idx="3">
                  <c:v>1964-65</c:v>
                </c:pt>
                <c:pt idx="4">
                  <c:v>1965-66</c:v>
                </c:pt>
                <c:pt idx="5">
                  <c:v>1966-67</c:v>
                </c:pt>
                <c:pt idx="6">
                  <c:v>1967-68</c:v>
                </c:pt>
                <c:pt idx="7">
                  <c:v>1968-69</c:v>
                </c:pt>
                <c:pt idx="8">
                  <c:v>1969-70</c:v>
                </c:pt>
                <c:pt idx="9">
                  <c:v>1970-71</c:v>
                </c:pt>
                <c:pt idx="10">
                  <c:v>1971-72</c:v>
                </c:pt>
                <c:pt idx="11">
                  <c:v>1972-73</c:v>
                </c:pt>
                <c:pt idx="12">
                  <c:v>1973-74</c:v>
                </c:pt>
                <c:pt idx="13">
                  <c:v>1974-75</c:v>
                </c:pt>
                <c:pt idx="14">
                  <c:v>1975-76</c:v>
                </c:pt>
                <c:pt idx="15">
                  <c:v>1976-77</c:v>
                </c:pt>
                <c:pt idx="16">
                  <c:v>1977-78</c:v>
                </c:pt>
                <c:pt idx="17">
                  <c:v>1978-79</c:v>
                </c:pt>
                <c:pt idx="18">
                  <c:v>1979-80</c:v>
                </c:pt>
                <c:pt idx="19">
                  <c:v>1980-81</c:v>
                </c:pt>
                <c:pt idx="20">
                  <c:v>1981-82</c:v>
                </c:pt>
                <c:pt idx="21">
                  <c:v>1982-83</c:v>
                </c:pt>
                <c:pt idx="22">
                  <c:v>1983-84</c:v>
                </c:pt>
                <c:pt idx="23">
                  <c:v>1984-85</c:v>
                </c:pt>
                <c:pt idx="24">
                  <c:v>1985-86</c:v>
                </c:pt>
                <c:pt idx="25">
                  <c:v>1986-87</c:v>
                </c:pt>
                <c:pt idx="26">
                  <c:v>1987-88</c:v>
                </c:pt>
                <c:pt idx="27">
                  <c:v>1988-89</c:v>
                </c:pt>
                <c:pt idx="28">
                  <c:v>1989-90</c:v>
                </c:pt>
                <c:pt idx="29">
                  <c:v>1990-91</c:v>
                </c:pt>
                <c:pt idx="30">
                  <c:v>1991-92</c:v>
                </c:pt>
                <c:pt idx="31">
                  <c:v>1992-93</c:v>
                </c:pt>
                <c:pt idx="32">
                  <c:v>1993-94</c:v>
                </c:pt>
                <c:pt idx="33">
                  <c:v>1994-95</c:v>
                </c:pt>
                <c:pt idx="34">
                  <c:v>1995-96</c:v>
                </c:pt>
                <c:pt idx="35">
                  <c:v>1996-97</c:v>
                </c:pt>
                <c:pt idx="36">
                  <c:v>1997-98</c:v>
                </c:pt>
                <c:pt idx="37">
                  <c:v>1998-99</c:v>
                </c:pt>
                <c:pt idx="38">
                  <c:v>1999-00</c:v>
                </c:pt>
                <c:pt idx="39">
                  <c:v>2000-01</c:v>
                </c:pt>
                <c:pt idx="40">
                  <c:v>2001-02</c:v>
                </c:pt>
                <c:pt idx="41">
                  <c:v>2002-03</c:v>
                </c:pt>
                <c:pt idx="42">
                  <c:v>2003-04</c:v>
                </c:pt>
                <c:pt idx="43">
                  <c:v>2004-05</c:v>
                </c:pt>
                <c:pt idx="44">
                  <c:v>2005-06</c:v>
                </c:pt>
                <c:pt idx="45">
                  <c:v>2006-07</c:v>
                </c:pt>
                <c:pt idx="46">
                  <c:v>2007-08</c:v>
                </c:pt>
                <c:pt idx="47">
                  <c:v>2008-09</c:v>
                </c:pt>
                <c:pt idx="48">
                  <c:v>2009-10</c:v>
                </c:pt>
                <c:pt idx="49">
                  <c:v>2010-11</c:v>
                </c:pt>
                <c:pt idx="50">
                  <c:v>2011-12</c:v>
                </c:pt>
                <c:pt idx="51">
                  <c:v>2012-13</c:v>
                </c:pt>
                <c:pt idx="52">
                  <c:v>2013-14</c:v>
                </c:pt>
                <c:pt idx="53">
                  <c:v>2014-15</c:v>
                </c:pt>
                <c:pt idx="54">
                  <c:v>2015-16</c:v>
                </c:pt>
                <c:pt idx="55">
                  <c:v>2016-17</c:v>
                </c:pt>
                <c:pt idx="56">
                  <c:v>2017-18</c:v>
                </c:pt>
                <c:pt idx="57">
                  <c:v>2018-19</c:v>
                </c:pt>
                <c:pt idx="58">
                  <c:v>2019-20</c:v>
                </c:pt>
                <c:pt idx="59">
                  <c:v>2020-21</c:v>
                </c:pt>
                <c:pt idx="60">
                  <c:v>2021-22</c:v>
                </c:pt>
              </c:strCache>
            </c:strRef>
          </c:cat>
          <c:val>
            <c:numRef>
              <c:f>'ODA-GNI time series'!$G$12:$G$72</c:f>
              <c:numCache>
                <c:formatCode>#,##0.00</c:formatCode>
                <c:ptCount val="61"/>
                <c:pt idx="0">
                  <c:v>947.31950769230787</c:v>
                </c:pt>
                <c:pt idx="1">
                  <c:v>1110.1400480769232</c:v>
                </c:pt>
                <c:pt idx="2">
                  <c:v>1241.13657375</c:v>
                </c:pt>
                <c:pt idx="3">
                  <c:v>1332.3039495343376</c:v>
                </c:pt>
                <c:pt idx="4">
                  <c:v>1438.1074316197678</c:v>
                </c:pt>
                <c:pt idx="5">
                  <c:v>1613.6137563168541</c:v>
                </c:pt>
                <c:pt idx="6">
                  <c:v>1772.6843160840663</c:v>
                </c:pt>
                <c:pt idx="7">
                  <c:v>1838.7244892297874</c:v>
                </c:pt>
                <c:pt idx="8">
                  <c:v>1972.5590968237118</c:v>
                </c:pt>
                <c:pt idx="9">
                  <c:v>2000.0805525000001</c:v>
                </c:pt>
                <c:pt idx="10">
                  <c:v>2123.728466284404</c:v>
                </c:pt>
                <c:pt idx="11">
                  <c:v>2144.715309152542</c:v>
                </c:pt>
                <c:pt idx="12">
                  <c:v>2265.4751310000001</c:v>
                </c:pt>
                <c:pt idx="13">
                  <c:v>2445.0061676582286</c:v>
                </c:pt>
                <c:pt idx="14">
                  <c:v>2322.1370135593224</c:v>
                </c:pt>
                <c:pt idx="15">
                  <c:v>2218.3359702985072</c:v>
                </c:pt>
                <c:pt idx="16">
                  <c:v>2267.0594537557613</c:v>
                </c:pt>
                <c:pt idx="17">
                  <c:v>2291.4795866949153</c:v>
                </c:pt>
                <c:pt idx="18">
                  <c:v>2241.6693593702294</c:v>
                </c:pt>
                <c:pt idx="19">
                  <c:v>2309.0913000000005</c:v>
                </c:pt>
                <c:pt idx="20">
                  <c:v>2411.7175800000005</c:v>
                </c:pt>
                <c:pt idx="21">
                  <c:v>2506.3402069679305</c:v>
                </c:pt>
                <c:pt idx="22">
                  <c:v>2955.509990851649</c:v>
                </c:pt>
                <c:pt idx="23">
                  <c:v>3009.5642630076045</c:v>
                </c:pt>
                <c:pt idx="24">
                  <c:v>2827.304041583373</c:v>
                </c:pt>
                <c:pt idx="25">
                  <c:v>2448.6808888486962</c:v>
                </c:pt>
                <c:pt idx="26">
                  <c:v>2387.6870536706906</c:v>
                </c:pt>
                <c:pt idx="27">
                  <c:v>2602.3655005921696</c:v>
                </c:pt>
                <c:pt idx="28">
                  <c:v>2373.394033382312</c:v>
                </c:pt>
                <c:pt idx="29">
                  <c:v>2467.6749940271193</c:v>
                </c:pt>
                <c:pt idx="30">
                  <c:v>2572.6119933097989</c:v>
                </c:pt>
                <c:pt idx="31">
                  <c:v>2632.1836842421881</c:v>
                </c:pt>
                <c:pt idx="32">
                  <c:v>2631.4221667281918</c:v>
                </c:pt>
                <c:pt idx="33">
                  <c:v>2649.8874796553323</c:v>
                </c:pt>
                <c:pt idx="34">
                  <c:v>2712.6976106604207</c:v>
                </c:pt>
                <c:pt idx="35">
                  <c:v>2471.9202037715245</c:v>
                </c:pt>
                <c:pt idx="36">
                  <c:v>2472.3378881973294</c:v>
                </c:pt>
                <c:pt idx="37">
                  <c:v>2596.1171128414103</c:v>
                </c:pt>
                <c:pt idx="38">
                  <c:v>2881.9942848403857</c:v>
                </c:pt>
                <c:pt idx="39">
                  <c:v>2539.8377088010061</c:v>
                </c:pt>
                <c:pt idx="40">
                  <c:v>2661.5065626041132</c:v>
                </c:pt>
                <c:pt idx="41">
                  <c:v>2703.7769902265272</c:v>
                </c:pt>
                <c:pt idx="42">
                  <c:v>2845.4637007513029</c:v>
                </c:pt>
                <c:pt idx="43">
                  <c:v>3090.5453834269979</c:v>
                </c:pt>
                <c:pt idx="44">
                  <c:v>3520.1353328596297</c:v>
                </c:pt>
                <c:pt idx="45">
                  <c:v>3790.8732510155855</c:v>
                </c:pt>
                <c:pt idx="46">
                  <c:v>3840.6459018177329</c:v>
                </c:pt>
                <c:pt idx="47">
                  <c:v>4609.713859067474</c:v>
                </c:pt>
                <c:pt idx="48">
                  <c:v>4595.5549726845093</c:v>
                </c:pt>
                <c:pt idx="49">
                  <c:v>4957.6078543927824</c:v>
                </c:pt>
                <c:pt idx="50">
                  <c:v>5479.4915384978376</c:v>
                </c:pt>
                <c:pt idx="51">
                  <c:v>5454.2811086556994</c:v>
                </c:pt>
                <c:pt idx="52">
                  <c:v>5507.2953931699412</c:v>
                </c:pt>
                <c:pt idx="53">
                  <c:v>5428.0097466462794</c:v>
                </c:pt>
                <c:pt idx="54">
                  <c:v>4475.2028587346695</c:v>
                </c:pt>
                <c:pt idx="55">
                  <c:v>4206.7701135000016</c:v>
                </c:pt>
                <c:pt idx="56">
                  <c:v>4168.7325000000001</c:v>
                </c:pt>
                <c:pt idx="57">
                  <c:v>4161</c:v>
                </c:pt>
                <c:pt idx="58">
                  <c:v>4068.2926829268299</c:v>
                </c:pt>
                <c:pt idx="59">
                  <c:v>3807.2575847709704</c:v>
                </c:pt>
                <c:pt idx="60">
                  <c:v>3714.3976436789958</c:v>
                </c:pt>
              </c:numCache>
            </c:numRef>
          </c:val>
          <c:smooth val="0"/>
          <c:extLst>
            <c:ext xmlns:c16="http://schemas.microsoft.com/office/drawing/2014/chart" uri="{C3380CC4-5D6E-409C-BE32-E72D297353CC}">
              <c16:uniqueId val="{00000000-F207-49FC-859B-9B9201D4BEC4}"/>
            </c:ext>
          </c:extLst>
        </c:ser>
        <c:dLbls>
          <c:showLegendKey val="0"/>
          <c:showVal val="0"/>
          <c:showCatName val="0"/>
          <c:showSerName val="0"/>
          <c:showPercent val="0"/>
          <c:showBubbleSize val="0"/>
        </c:dLbls>
        <c:marker val="1"/>
        <c:smooth val="0"/>
        <c:axId val="205776512"/>
        <c:axId val="205776904"/>
      </c:lineChart>
      <c:lineChart>
        <c:grouping val="standard"/>
        <c:varyColors val="0"/>
        <c:ser>
          <c:idx val="1"/>
          <c:order val="1"/>
          <c:tx>
            <c:strRef>
              <c:f>'ODA-GNI time series'!$R$3</c:f>
              <c:strCache>
                <c:ptCount val="1"/>
              </c:strCache>
            </c:strRef>
          </c:tx>
          <c:spPr>
            <a:ln w="28575" cap="rnd">
              <a:solidFill>
                <a:schemeClr val="accent2"/>
              </a:solidFill>
              <a:round/>
            </a:ln>
            <a:effectLst/>
          </c:spPr>
          <c:marker>
            <c:symbol val="none"/>
          </c:marker>
          <c:cat>
            <c:strRef>
              <c:f>'ODA-GNI time series'!$A$12:$A$72</c:f>
              <c:strCache>
                <c:ptCount val="61"/>
                <c:pt idx="0">
                  <c:v>1961-62</c:v>
                </c:pt>
                <c:pt idx="1">
                  <c:v>1962-63</c:v>
                </c:pt>
                <c:pt idx="2">
                  <c:v>1963-64</c:v>
                </c:pt>
                <c:pt idx="3">
                  <c:v>1964-65</c:v>
                </c:pt>
                <c:pt idx="4">
                  <c:v>1965-66</c:v>
                </c:pt>
                <c:pt idx="5">
                  <c:v>1966-67</c:v>
                </c:pt>
                <c:pt idx="6">
                  <c:v>1967-68</c:v>
                </c:pt>
                <c:pt idx="7">
                  <c:v>1968-69</c:v>
                </c:pt>
                <c:pt idx="8">
                  <c:v>1969-70</c:v>
                </c:pt>
                <c:pt idx="9">
                  <c:v>1970-71</c:v>
                </c:pt>
                <c:pt idx="10">
                  <c:v>1971-72</c:v>
                </c:pt>
                <c:pt idx="11">
                  <c:v>1972-73</c:v>
                </c:pt>
                <c:pt idx="12">
                  <c:v>1973-74</c:v>
                </c:pt>
                <c:pt idx="13">
                  <c:v>1974-75</c:v>
                </c:pt>
                <c:pt idx="14">
                  <c:v>1975-76</c:v>
                </c:pt>
                <c:pt idx="15">
                  <c:v>1976-77</c:v>
                </c:pt>
                <c:pt idx="16">
                  <c:v>1977-78</c:v>
                </c:pt>
                <c:pt idx="17">
                  <c:v>1978-79</c:v>
                </c:pt>
                <c:pt idx="18">
                  <c:v>1979-80</c:v>
                </c:pt>
                <c:pt idx="19">
                  <c:v>1980-81</c:v>
                </c:pt>
                <c:pt idx="20">
                  <c:v>1981-82</c:v>
                </c:pt>
                <c:pt idx="21">
                  <c:v>1982-83</c:v>
                </c:pt>
                <c:pt idx="22">
                  <c:v>1983-84</c:v>
                </c:pt>
                <c:pt idx="23">
                  <c:v>1984-85</c:v>
                </c:pt>
                <c:pt idx="24">
                  <c:v>1985-86</c:v>
                </c:pt>
                <c:pt idx="25">
                  <c:v>1986-87</c:v>
                </c:pt>
                <c:pt idx="26">
                  <c:v>1987-88</c:v>
                </c:pt>
                <c:pt idx="27">
                  <c:v>1988-89</c:v>
                </c:pt>
                <c:pt idx="28">
                  <c:v>1989-90</c:v>
                </c:pt>
                <c:pt idx="29">
                  <c:v>1990-91</c:v>
                </c:pt>
                <c:pt idx="30">
                  <c:v>1991-92</c:v>
                </c:pt>
                <c:pt idx="31">
                  <c:v>1992-93</c:v>
                </c:pt>
                <c:pt idx="32">
                  <c:v>1993-94</c:v>
                </c:pt>
                <c:pt idx="33">
                  <c:v>1994-95</c:v>
                </c:pt>
                <c:pt idx="34">
                  <c:v>1995-96</c:v>
                </c:pt>
                <c:pt idx="35">
                  <c:v>1996-97</c:v>
                </c:pt>
                <c:pt idx="36">
                  <c:v>1997-98</c:v>
                </c:pt>
                <c:pt idx="37">
                  <c:v>1998-99</c:v>
                </c:pt>
                <c:pt idx="38">
                  <c:v>1999-00</c:v>
                </c:pt>
                <c:pt idx="39">
                  <c:v>2000-01</c:v>
                </c:pt>
                <c:pt idx="40">
                  <c:v>2001-02</c:v>
                </c:pt>
                <c:pt idx="41">
                  <c:v>2002-03</c:v>
                </c:pt>
                <c:pt idx="42">
                  <c:v>2003-04</c:v>
                </c:pt>
                <c:pt idx="43">
                  <c:v>2004-05</c:v>
                </c:pt>
                <c:pt idx="44">
                  <c:v>2005-06</c:v>
                </c:pt>
                <c:pt idx="45">
                  <c:v>2006-07</c:v>
                </c:pt>
                <c:pt idx="46">
                  <c:v>2007-08</c:v>
                </c:pt>
                <c:pt idx="47">
                  <c:v>2008-09</c:v>
                </c:pt>
                <c:pt idx="48">
                  <c:v>2009-10</c:v>
                </c:pt>
                <c:pt idx="49">
                  <c:v>2010-11</c:v>
                </c:pt>
                <c:pt idx="50">
                  <c:v>2011-12</c:v>
                </c:pt>
                <c:pt idx="51">
                  <c:v>2012-13</c:v>
                </c:pt>
                <c:pt idx="52">
                  <c:v>2013-14</c:v>
                </c:pt>
                <c:pt idx="53">
                  <c:v>2014-15</c:v>
                </c:pt>
                <c:pt idx="54">
                  <c:v>2015-16</c:v>
                </c:pt>
                <c:pt idx="55">
                  <c:v>2016-17</c:v>
                </c:pt>
                <c:pt idx="56">
                  <c:v>2017-18</c:v>
                </c:pt>
                <c:pt idx="57">
                  <c:v>2018-19</c:v>
                </c:pt>
                <c:pt idx="58">
                  <c:v>2019-20</c:v>
                </c:pt>
                <c:pt idx="59">
                  <c:v>2020-21</c:v>
                </c:pt>
                <c:pt idx="60">
                  <c:v>2021-22</c:v>
                </c:pt>
              </c:strCache>
            </c:strRef>
          </c:cat>
          <c:val>
            <c:numRef>
              <c:f>'ODA-GNI time series'!$I$12:$I$72</c:f>
              <c:numCache>
                <c:formatCode>0.000</c:formatCode>
                <c:ptCount val="61"/>
                <c:pt idx="0">
                  <c:v>0.35942940581826349</c:v>
                </c:pt>
                <c:pt idx="1">
                  <c:v>0.3918495297805642</c:v>
                </c:pt>
                <c:pt idx="2">
                  <c:v>0.40554560030180137</c:v>
                </c:pt>
                <c:pt idx="3">
                  <c:v>0.41253822629969417</c:v>
                </c:pt>
                <c:pt idx="4">
                  <c:v>0.44110356186946675</c:v>
                </c:pt>
                <c:pt idx="5">
                  <c:v>0.46173948550428745</c:v>
                </c:pt>
                <c:pt idx="6">
                  <c:v>0.48373147763467672</c:v>
                </c:pt>
                <c:pt idx="7">
                  <c:v>0.4646883536131115</c:v>
                </c:pt>
                <c:pt idx="8">
                  <c:v>0.45502869223799458</c:v>
                </c:pt>
                <c:pt idx="9">
                  <c:v>0.44334604576475312</c:v>
                </c:pt>
                <c:pt idx="10">
                  <c:v>0.45282081394823609</c:v>
                </c:pt>
                <c:pt idx="11">
                  <c:v>0.44047906116871632</c:v>
                </c:pt>
                <c:pt idx="12">
                  <c:v>0.44113238967527058</c:v>
                </c:pt>
                <c:pt idx="13">
                  <c:v>0.46928471248246845</c:v>
                </c:pt>
                <c:pt idx="14">
                  <c:v>0.42777664291464895</c:v>
                </c:pt>
                <c:pt idx="15">
                  <c:v>0.40491093427274344</c:v>
                </c:pt>
                <c:pt idx="16">
                  <c:v>0.41116643507796824</c:v>
                </c:pt>
                <c:pt idx="17">
                  <c:v>0.39995901359382469</c:v>
                </c:pt>
                <c:pt idx="18">
                  <c:v>0.38253009783205372</c:v>
                </c:pt>
                <c:pt idx="19">
                  <c:v>0.37466277052564922</c:v>
                </c:pt>
                <c:pt idx="20">
                  <c:v>0.38202951729583484</c:v>
                </c:pt>
                <c:pt idx="21">
                  <c:v>0.39673490265449002</c:v>
                </c:pt>
                <c:pt idx="22">
                  <c:v>0.44207649754718231</c:v>
                </c:pt>
                <c:pt idx="23">
                  <c:v>0.43658562906303144</c:v>
                </c:pt>
                <c:pt idx="24">
                  <c:v>0.40336001627581236</c:v>
                </c:pt>
                <c:pt idx="25">
                  <c:v>0.34783799201369081</c:v>
                </c:pt>
                <c:pt idx="26">
                  <c:v>0.32081541080480674</c:v>
                </c:pt>
                <c:pt idx="27">
                  <c:v>0.33426854997117961</c:v>
                </c:pt>
                <c:pt idx="28">
                  <c:v>0.30129470771536965</c:v>
                </c:pt>
                <c:pt idx="29">
                  <c:v>0.31715021528308718</c:v>
                </c:pt>
                <c:pt idx="30">
                  <c:v>0.32773412959445375</c:v>
                </c:pt>
                <c:pt idx="31">
                  <c:v>0.32139511697465739</c:v>
                </c:pt>
                <c:pt idx="32">
                  <c:v>0.30992618791327081</c:v>
                </c:pt>
                <c:pt idx="33">
                  <c:v>0.31099643762919094</c:v>
                </c:pt>
                <c:pt idx="34">
                  <c:v>0.30794942081527987</c:v>
                </c:pt>
                <c:pt idx="35">
                  <c:v>0.26692887119738207</c:v>
                </c:pt>
                <c:pt idx="36">
                  <c:v>0.25341815136260759</c:v>
                </c:pt>
                <c:pt idx="37">
                  <c:v>0.25504238770173715</c:v>
                </c:pt>
                <c:pt idx="38">
                  <c:v>0.27304972053720433</c:v>
                </c:pt>
                <c:pt idx="39">
                  <c:v>0.23926312746723974</c:v>
                </c:pt>
                <c:pt idx="40">
                  <c:v>0.2407579352094241</c:v>
                </c:pt>
                <c:pt idx="41">
                  <c:v>0.23657824047297729</c:v>
                </c:pt>
                <c:pt idx="42">
                  <c:v>0.2377162120439712</c:v>
                </c:pt>
                <c:pt idx="43">
                  <c:v>0.24925238196157298</c:v>
                </c:pt>
                <c:pt idx="44">
                  <c:v>0.27369803747590937</c:v>
                </c:pt>
                <c:pt idx="45">
                  <c:v>0.27776905784646727</c:v>
                </c:pt>
                <c:pt idx="46">
                  <c:v>0.27022904391088537</c:v>
                </c:pt>
                <c:pt idx="47">
                  <c:v>0.30550706077530992</c:v>
                </c:pt>
                <c:pt idx="48">
                  <c:v>0.30541712394700171</c:v>
                </c:pt>
                <c:pt idx="49">
                  <c:v>0.31381903816069484</c:v>
                </c:pt>
                <c:pt idx="50">
                  <c:v>0.3283498267419907</c:v>
                </c:pt>
                <c:pt idx="51">
                  <c:v>0.32470130218081011</c:v>
                </c:pt>
                <c:pt idx="52">
                  <c:v>0.32507758120491226</c:v>
                </c:pt>
                <c:pt idx="53">
                  <c:v>0.31827318937253862</c:v>
                </c:pt>
                <c:pt idx="54">
                  <c:v>0.25948087908321676</c:v>
                </c:pt>
                <c:pt idx="55">
                  <c:v>0.23735024126162177</c:v>
                </c:pt>
                <c:pt idx="56">
                  <c:v>0.23008904979546074</c:v>
                </c:pt>
                <c:pt idx="57">
                  <c:v>0.22634184389039</c:v>
                </c:pt>
                <c:pt idx="58">
                  <c:v>0.21654549697421649</c:v>
                </c:pt>
                <c:pt idx="59">
                  <c:v>0.19877273023231923</c:v>
                </c:pt>
                <c:pt idx="60">
                  <c:v>0.19021313897829598</c:v>
                </c:pt>
              </c:numCache>
            </c:numRef>
          </c:val>
          <c:smooth val="0"/>
          <c:extLst>
            <c:ext xmlns:c16="http://schemas.microsoft.com/office/drawing/2014/chart" uri="{C3380CC4-5D6E-409C-BE32-E72D297353CC}">
              <c16:uniqueId val="{00000001-F207-49FC-859B-9B9201D4BEC4}"/>
            </c:ext>
          </c:extLst>
        </c:ser>
        <c:dLbls>
          <c:showLegendKey val="0"/>
          <c:showVal val="0"/>
          <c:showCatName val="0"/>
          <c:showSerName val="0"/>
          <c:showPercent val="0"/>
          <c:showBubbleSize val="0"/>
        </c:dLbls>
        <c:marker val="1"/>
        <c:smooth val="0"/>
        <c:axId val="205777688"/>
        <c:axId val="205777296"/>
      </c:lineChart>
      <c:catAx>
        <c:axId val="2057765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76904"/>
        <c:crosses val="autoZero"/>
        <c:auto val="1"/>
        <c:lblAlgn val="ctr"/>
        <c:lblOffset val="100"/>
        <c:noMultiLvlLbl val="0"/>
      </c:catAx>
      <c:valAx>
        <c:axId val="205776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AUD -</a:t>
                </a:r>
                <a:r>
                  <a:rPr lang="en-US" baseline="0"/>
                  <a:t> Million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76512"/>
        <c:crosses val="autoZero"/>
        <c:crossBetween val="midCat"/>
      </c:valAx>
      <c:valAx>
        <c:axId val="205777296"/>
        <c:scaling>
          <c:orientation val="minMax"/>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777688"/>
        <c:crosses val="max"/>
        <c:crossBetween val="between"/>
      </c:valAx>
      <c:catAx>
        <c:axId val="205777688"/>
        <c:scaling>
          <c:orientation val="minMax"/>
        </c:scaling>
        <c:delete val="1"/>
        <c:axPos val="b"/>
        <c:numFmt formatCode="General" sourceLinked="1"/>
        <c:majorTickMark val="out"/>
        <c:minorTickMark val="none"/>
        <c:tickLblPos val="nextTo"/>
        <c:crossAx val="20577729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10</xdr:col>
      <xdr:colOff>85725</xdr:colOff>
      <xdr:row>44</xdr:row>
      <xdr:rowOff>185737</xdr:rowOff>
    </xdr:from>
    <xdr:to>
      <xdr:col>20</xdr:col>
      <xdr:colOff>314325</xdr:colOff>
      <xdr:row>60</xdr:row>
      <xdr:rowOff>71437</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166688</xdr:colOff>
      <xdr:row>9</xdr:row>
      <xdr:rowOff>146446</xdr:rowOff>
    </xdr:from>
    <xdr:to>
      <xdr:col>53</xdr:col>
      <xdr:colOff>535782</xdr:colOff>
      <xdr:row>36</xdr:row>
      <xdr:rowOff>83344</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618815</xdr:colOff>
      <xdr:row>49</xdr:row>
      <xdr:rowOff>68747</xdr:rowOff>
    </xdr:from>
    <xdr:to>
      <xdr:col>25</xdr:col>
      <xdr:colOff>88137</xdr:colOff>
      <xdr:row>69</xdr:row>
      <xdr:rowOff>47314</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718706</xdr:colOff>
      <xdr:row>33</xdr:row>
      <xdr:rowOff>178377</xdr:rowOff>
    </xdr:from>
    <xdr:to>
      <xdr:col>24</xdr:col>
      <xdr:colOff>658092</xdr:colOff>
      <xdr:row>48</xdr:row>
      <xdr:rowOff>64077</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294409</xdr:colOff>
      <xdr:row>71</xdr:row>
      <xdr:rowOff>450272</xdr:rowOff>
    </xdr:from>
    <xdr:to>
      <xdr:col>21</xdr:col>
      <xdr:colOff>835601</xdr:colOff>
      <xdr:row>88</xdr:row>
      <xdr:rowOff>38099</xdr:rowOff>
    </xdr:to>
    <xdr:graphicFrame macro="">
      <xdr:nvGraphicFramePr>
        <xdr:cNvPr id="7" name="Chart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412544</xdr:colOff>
      <xdr:row>19</xdr:row>
      <xdr:rowOff>54428</xdr:rowOff>
    </xdr:from>
    <xdr:to>
      <xdr:col>24</xdr:col>
      <xdr:colOff>510267</xdr:colOff>
      <xdr:row>33</xdr:row>
      <xdr:rowOff>23255</xdr:rowOff>
    </xdr:to>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415635</xdr:colOff>
      <xdr:row>74</xdr:row>
      <xdr:rowOff>472786</xdr:rowOff>
    </xdr:from>
    <xdr:to>
      <xdr:col>16</xdr:col>
      <xdr:colOff>476249</xdr:colOff>
      <xdr:row>87</xdr:row>
      <xdr:rowOff>77932</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0.8083</cdr:x>
      <cdr:y>0.15676</cdr:y>
    </cdr:from>
    <cdr:to>
      <cdr:x>0.91988</cdr:x>
      <cdr:y>0.24357</cdr:y>
    </cdr:to>
    <cdr:sp macro="" textlink="">
      <cdr:nvSpPr>
        <cdr:cNvPr id="2" name="TextBox 1">
          <a:extLst xmlns:a="http://schemas.openxmlformats.org/drawingml/2006/main">
            <a:ext uri="{FF2B5EF4-FFF2-40B4-BE49-F238E27FC236}">
              <a16:creationId xmlns:a16="http://schemas.microsoft.com/office/drawing/2014/main" id="{04974D43-B95E-4F96-B1A5-C622B6597381}"/>
            </a:ext>
          </a:extLst>
        </cdr:cNvPr>
        <cdr:cNvSpPr txBox="1"/>
      </cdr:nvSpPr>
      <cdr:spPr>
        <a:xfrm xmlns:a="http://schemas.openxmlformats.org/drawingml/2006/main">
          <a:off x="5687674" y="796414"/>
          <a:ext cx="785143" cy="4410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100"/>
            <a:t>32%</a:t>
          </a:r>
          <a:r>
            <a:rPr lang="en-AU" sz="1100" baseline="0"/>
            <a:t> up</a:t>
          </a:r>
          <a:endParaRPr lang="en-AU" sz="1100"/>
        </a:p>
      </cdr:txBody>
    </cdr:sp>
  </cdr:relSizeAnchor>
  <cdr:relSizeAnchor xmlns:cdr="http://schemas.openxmlformats.org/drawingml/2006/chartDrawing">
    <cdr:from>
      <cdr:x>0.76489</cdr:x>
      <cdr:y>0.69117</cdr:y>
    </cdr:from>
    <cdr:to>
      <cdr:x>0.91282</cdr:x>
      <cdr:y>0.77551</cdr:y>
    </cdr:to>
    <cdr:sp macro="" textlink="">
      <cdr:nvSpPr>
        <cdr:cNvPr id="3" name="TextBox 1">
          <a:extLst xmlns:a="http://schemas.openxmlformats.org/drawingml/2006/main">
            <a:ext uri="{FF2B5EF4-FFF2-40B4-BE49-F238E27FC236}">
              <a16:creationId xmlns:a16="http://schemas.microsoft.com/office/drawing/2014/main" id="{FFDB128F-CDC5-4C16-948E-03ED9ADEEA5D}"/>
            </a:ext>
          </a:extLst>
        </cdr:cNvPr>
        <cdr:cNvSpPr txBox="1"/>
      </cdr:nvSpPr>
      <cdr:spPr>
        <a:xfrm xmlns:a="http://schemas.openxmlformats.org/drawingml/2006/main">
          <a:off x="5382193" y="3511423"/>
          <a:ext cx="1040924" cy="4284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32%</a:t>
          </a:r>
          <a:r>
            <a:rPr lang="en-AU" sz="1100" baseline="0"/>
            <a:t> down</a:t>
          </a:r>
          <a:endParaRPr lang="en-AU"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342900</xdr:colOff>
      <xdr:row>24</xdr:row>
      <xdr:rowOff>126491</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27</xdr:row>
      <xdr:rowOff>0</xdr:rowOff>
    </xdr:from>
    <xdr:to>
      <xdr:col>14</xdr:col>
      <xdr:colOff>342901</xdr:colOff>
      <xdr:row>50</xdr:row>
      <xdr:rowOff>180975</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14</xdr:col>
      <xdr:colOff>342900</xdr:colOff>
      <xdr:row>78</xdr:row>
      <xdr:rowOff>180975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504824</xdr:colOff>
      <xdr:row>79</xdr:row>
      <xdr:rowOff>66674</xdr:rowOff>
    </xdr:from>
    <xdr:to>
      <xdr:col>11</xdr:col>
      <xdr:colOff>609599</xdr:colOff>
      <xdr:row>97</xdr:row>
      <xdr:rowOff>85725</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38100</xdr:rowOff>
    </xdr:from>
    <xdr:to>
      <xdr:col>15</xdr:col>
      <xdr:colOff>175773</xdr:colOff>
      <xdr:row>26</xdr:row>
      <xdr:rowOff>55741</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495300</xdr:colOff>
      <xdr:row>27</xdr:row>
      <xdr:rowOff>85725</xdr:rowOff>
    </xdr:from>
    <xdr:to>
      <xdr:col>16</xdr:col>
      <xdr:colOff>61473</xdr:colOff>
      <xdr:row>53</xdr:row>
      <xdr:rowOff>103366</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15</xdr:col>
      <xdr:colOff>175773</xdr:colOff>
      <xdr:row>83</xdr:row>
      <xdr:rowOff>17641</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15</xdr:row>
      <xdr:rowOff>0</xdr:rowOff>
    </xdr:from>
    <xdr:to>
      <xdr:col>8</xdr:col>
      <xdr:colOff>400050</xdr:colOff>
      <xdr:row>29</xdr:row>
      <xdr:rowOff>76200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fat.gov.au/about-us/publications/aid/statistical-summary-time-series-data/Pages/australias-international-development-assistance-official-sector-statistical-summary.asp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26"/>
  <sheetViews>
    <sheetView zoomScale="90" zoomScaleNormal="90" workbookViewId="0">
      <pane xSplit="1" ySplit="1" topLeftCell="B8" activePane="bottomRight" state="frozen"/>
      <selection pane="topRight" activeCell="B1" sqref="B1"/>
      <selection pane="bottomLeft" activeCell="A2" sqref="A2"/>
      <selection pane="bottomRight" activeCell="A25" sqref="A25:XFD25"/>
    </sheetView>
  </sheetViews>
  <sheetFormatPr defaultRowHeight="15" x14ac:dyDescent="0.25"/>
  <cols>
    <col min="22" max="22" width="11.140625" bestFit="1" customWidth="1"/>
  </cols>
  <sheetData>
    <row r="1" spans="1:26" ht="75" x14ac:dyDescent="0.25">
      <c r="A1" s="11" t="s">
        <v>0</v>
      </c>
      <c r="B1" s="11" t="s">
        <v>85</v>
      </c>
      <c r="C1" s="11" t="s">
        <v>83</v>
      </c>
      <c r="D1" s="11" t="s">
        <v>84</v>
      </c>
      <c r="E1" s="11" t="s">
        <v>77</v>
      </c>
      <c r="F1" s="11" t="s">
        <v>78</v>
      </c>
      <c r="G1" s="11" t="s">
        <v>53</v>
      </c>
      <c r="H1" s="11" t="s">
        <v>123</v>
      </c>
      <c r="I1" s="11" t="s">
        <v>149</v>
      </c>
      <c r="J1" s="11" t="s">
        <v>150</v>
      </c>
      <c r="K1" s="11" t="s">
        <v>76</v>
      </c>
      <c r="L1" s="11" t="s">
        <v>75</v>
      </c>
      <c r="M1" s="11" t="s">
        <v>47</v>
      </c>
      <c r="N1" s="11" t="s">
        <v>48</v>
      </c>
      <c r="O1" s="11" t="s">
        <v>49</v>
      </c>
      <c r="P1" s="11" t="s">
        <v>51</v>
      </c>
      <c r="Q1" s="11" t="s">
        <v>50</v>
      </c>
      <c r="R1" s="11" t="s">
        <v>55</v>
      </c>
      <c r="S1" s="11" t="s">
        <v>79</v>
      </c>
      <c r="T1" s="11" t="s">
        <v>80</v>
      </c>
      <c r="U1" s="11" t="s">
        <v>52</v>
      </c>
      <c r="V1" s="11" t="s">
        <v>69</v>
      </c>
      <c r="W1" s="11" t="s">
        <v>81</v>
      </c>
      <c r="X1" s="62" t="s">
        <v>82</v>
      </c>
      <c r="Y1" s="11" t="s">
        <v>86</v>
      </c>
      <c r="Z1" s="11" t="s">
        <v>87</v>
      </c>
    </row>
    <row r="2" spans="1:26" ht="90" x14ac:dyDescent="0.25">
      <c r="A2" s="11"/>
      <c r="B2" s="11" t="s">
        <v>148</v>
      </c>
      <c r="C2" s="11"/>
      <c r="D2" s="11"/>
      <c r="E2" s="11"/>
      <c r="F2" s="11"/>
      <c r="G2" s="11"/>
      <c r="H2" s="11">
        <v>1</v>
      </c>
      <c r="I2" s="11"/>
      <c r="J2" s="11"/>
      <c r="K2" s="11"/>
      <c r="L2" s="11"/>
      <c r="M2" s="11"/>
      <c r="N2" s="11"/>
      <c r="O2" s="11"/>
      <c r="P2" s="11"/>
      <c r="Q2" s="11"/>
      <c r="R2" s="11"/>
      <c r="S2" s="11"/>
      <c r="T2" s="11"/>
      <c r="U2" s="11"/>
      <c r="V2" s="11"/>
      <c r="W2" s="11"/>
      <c r="X2" s="11"/>
      <c r="Y2" s="11"/>
      <c r="Z2" s="11"/>
    </row>
    <row r="3" spans="1:26" x14ac:dyDescent="0.25">
      <c r="A3" t="s">
        <v>5</v>
      </c>
      <c r="B3" s="12">
        <f>'ODA-GNI time series'!B63</f>
        <v>4856.4567193147004</v>
      </c>
      <c r="G3" s="35">
        <f>((102.8/100.4)-1)*100</f>
        <v>2.3904382470119501</v>
      </c>
      <c r="H3" s="33">
        <f t="shared" ref="H3:H11" si="0">H2*(1+G3/100)</f>
        <v>1.0239043824701195</v>
      </c>
      <c r="I3" s="33">
        <f>H3/H$9</f>
        <v>0.89039355005148546</v>
      </c>
      <c r="J3" s="25">
        <f>B3/I3</f>
        <v>5454.2811086556994</v>
      </c>
      <c r="K3" s="34"/>
      <c r="L3" s="9"/>
      <c r="M3" s="9"/>
      <c r="N3" s="9"/>
      <c r="O3" s="35">
        <v>367.20400000000001</v>
      </c>
      <c r="P3" s="9"/>
      <c r="Q3" s="35">
        <f t="shared" ref="Q3:Q12" si="1">O3/I3</f>
        <v>412.40640161731528</v>
      </c>
      <c r="R3" s="9"/>
      <c r="S3" s="25">
        <f t="shared" ref="S3:S12" si="2">Q3*1000-J3</f>
        <v>406952.12050865963</v>
      </c>
      <c r="T3" s="9"/>
      <c r="U3" s="9"/>
      <c r="V3" s="36">
        <v>1495.6690000000001</v>
      </c>
      <c r="W3" s="9"/>
      <c r="X3" s="9"/>
      <c r="Y3" s="37">
        <f t="shared" ref="Y3:Y12" si="3">(B3/1000)/V3</f>
        <v>3.2470130218081009E-3</v>
      </c>
      <c r="Z3" s="38">
        <f t="shared" ref="Z3:Z12" si="4">B3/O3/1000</f>
        <v>1.3225500591809186E-2</v>
      </c>
    </row>
    <row r="4" spans="1:26" x14ac:dyDescent="0.25">
      <c r="A4" t="s">
        <v>4</v>
      </c>
      <c r="B4" s="12">
        <f>'ODA-GNI time series'!B64</f>
        <v>5051.5333208062984</v>
      </c>
      <c r="C4" s="5">
        <f>B4-B3</f>
        <v>195.07660149159801</v>
      </c>
      <c r="D4" s="5">
        <f>B4-B3</f>
        <v>195.07660149159801</v>
      </c>
      <c r="E4" s="3">
        <f>B4/B3-1</f>
        <v>4.0168504069181932E-2</v>
      </c>
      <c r="F4" s="3">
        <f t="shared" ref="F4:F11" si="5">D4/B$3</f>
        <v>4.0168504069181835E-2</v>
      </c>
      <c r="G4" s="35">
        <f>((105.9/102.8)-1)*100</f>
        <v>3.0155642023346418</v>
      </c>
      <c r="H4" s="33">
        <f t="shared" si="0"/>
        <v>1.0547808764940241</v>
      </c>
      <c r="I4" s="33">
        <f t="shared" ref="I4:I12" si="6">H4/H$9</f>
        <v>0.91724393920673475</v>
      </c>
      <c r="J4" s="25">
        <f>B4/I4</f>
        <v>5507.2953931699394</v>
      </c>
      <c r="K4" s="34">
        <f t="shared" ref="K4:K9" si="7">J4-J3</f>
        <v>53.014284514239989</v>
      </c>
      <c r="L4" s="34">
        <f>J4-J3</f>
        <v>53.014284514239989</v>
      </c>
      <c r="M4" s="10">
        <f t="shared" ref="M4:M10" si="8">L4/J$3</f>
        <v>9.7197565468543044E-3</v>
      </c>
      <c r="N4" s="10">
        <f t="shared" ref="N4:N9" si="9">J4/J3-1</f>
        <v>9.7197565468543079E-3</v>
      </c>
      <c r="O4" s="35">
        <v>406.43</v>
      </c>
      <c r="P4" s="10">
        <f>O4/O3-1</f>
        <v>0.10682345508218871</v>
      </c>
      <c r="Q4" s="35">
        <f t="shared" si="1"/>
        <v>443.09913931019827</v>
      </c>
      <c r="R4" s="10">
        <f>Q4/Q3-1</f>
        <v>7.4423523913587974E-2</v>
      </c>
      <c r="S4" s="25">
        <f t="shared" si="2"/>
        <v>437591.84391702834</v>
      </c>
      <c r="T4" s="25">
        <f t="shared" ref="T4:T9" si="10">S4-S3</f>
        <v>30639.723408368707</v>
      </c>
      <c r="U4" s="39">
        <f t="shared" ref="U4:U10" si="11">S4/S$3-1</f>
        <v>7.5290732900153756E-2</v>
      </c>
      <c r="V4" s="36">
        <v>1553.9469999999999</v>
      </c>
      <c r="W4" s="9"/>
      <c r="X4" s="9"/>
      <c r="Y4" s="37">
        <f t="shared" si="3"/>
        <v>3.2507758120491228E-3</v>
      </c>
      <c r="Z4" s="38">
        <f t="shared" si="4"/>
        <v>1.2429036539641017E-2</v>
      </c>
    </row>
    <row r="5" spans="1:26" x14ac:dyDescent="0.25">
      <c r="A5" t="s">
        <v>45</v>
      </c>
      <c r="B5" s="12">
        <f>'ODA-GNI time series'!B65</f>
        <v>5054.0318415688016</v>
      </c>
      <c r="C5">
        <f>B5-B4</f>
        <v>2.4985207625031762</v>
      </c>
      <c r="D5" s="5">
        <f t="shared" ref="D5:D12" si="12">B5-B$3</f>
        <v>197.57512225410119</v>
      </c>
      <c r="E5" s="3">
        <f>B5/B4-1</f>
        <v>4.9460641033727271E-4</v>
      </c>
      <c r="F5" s="3">
        <f t="shared" si="5"/>
        <v>4.0682978079125395E-2</v>
      </c>
      <c r="G5" s="35">
        <f>((107.5/105.9)-1)*100</f>
        <v>1.5108593012275628</v>
      </c>
      <c r="H5" s="33">
        <f t="shared" si="0"/>
        <v>1.0707171314741037</v>
      </c>
      <c r="I5" s="33">
        <f t="shared" si="6"/>
        <v>0.93110220457718584</v>
      </c>
      <c r="J5" s="25">
        <f>B5/I5</f>
        <v>5428.0097466462785</v>
      </c>
      <c r="K5" s="34">
        <f t="shared" si="7"/>
        <v>-79.285646523660944</v>
      </c>
      <c r="L5" s="34">
        <f t="shared" ref="L5:L9" si="13">J5-J$3</f>
        <v>-26.271362009420955</v>
      </c>
      <c r="M5" s="10">
        <f t="shared" si="8"/>
        <v>-4.8166497996829467E-3</v>
      </c>
      <c r="N5" s="38">
        <f t="shared" si="9"/>
        <v>-1.4396476103676892E-2</v>
      </c>
      <c r="O5" s="35">
        <v>412.07900000000001</v>
      </c>
      <c r="P5" s="10">
        <f>O5/O3-1</f>
        <v>0.12220727443056179</v>
      </c>
      <c r="Q5" s="35">
        <f t="shared" si="1"/>
        <v>442.57117851753492</v>
      </c>
      <c r="R5" s="10">
        <f>Q5/Q3-1</f>
        <v>7.3143328478713743E-2</v>
      </c>
      <c r="S5" s="25">
        <f t="shared" si="2"/>
        <v>437143.16877088865</v>
      </c>
      <c r="T5" s="25">
        <f t="shared" si="10"/>
        <v>-448.67514613969252</v>
      </c>
      <c r="U5" s="39">
        <f t="shared" si="11"/>
        <v>7.4188207262545935E-2</v>
      </c>
      <c r="V5" s="36">
        <v>1587.9549999999999</v>
      </c>
      <c r="W5" s="9"/>
      <c r="X5" s="9"/>
      <c r="Y5" s="37">
        <f t="shared" si="3"/>
        <v>3.1827298894293614E-3</v>
      </c>
      <c r="Z5" s="38">
        <f t="shared" si="4"/>
        <v>1.2264715847128346E-2</v>
      </c>
    </row>
    <row r="6" spans="1:26" x14ac:dyDescent="0.25">
      <c r="A6" t="s">
        <v>44</v>
      </c>
      <c r="B6" s="12">
        <f>'ODA-GNI time series'!B66</f>
        <v>4209.509</v>
      </c>
      <c r="C6">
        <f>B6-B5</f>
        <v>-844.5228415688016</v>
      </c>
      <c r="D6" s="5">
        <f t="shared" si="12"/>
        <v>-646.94771931470041</v>
      </c>
      <c r="E6" s="3">
        <f>B6/B5-1</f>
        <v>-0.16709883673915604</v>
      </c>
      <c r="F6" s="3">
        <f t="shared" si="5"/>
        <v>-0.13321393697213713</v>
      </c>
      <c r="G6" s="35">
        <f>((108.6/107.5)-1)*100</f>
        <v>1.0232558139534831</v>
      </c>
      <c r="H6" s="33">
        <f t="shared" si="0"/>
        <v>1.0816733067729085</v>
      </c>
      <c r="I6" s="33">
        <f t="shared" si="6"/>
        <v>0.94062976201937099</v>
      </c>
      <c r="J6" s="25">
        <f>B6/I6</f>
        <v>4475.2028587346686</v>
      </c>
      <c r="K6" s="34">
        <f t="shared" si="7"/>
        <v>-952.80688791160992</v>
      </c>
      <c r="L6" s="34">
        <f t="shared" si="13"/>
        <v>-979.07824992103087</v>
      </c>
      <c r="M6" s="10">
        <f t="shared" si="8"/>
        <v>-0.1795063786439752</v>
      </c>
      <c r="N6" s="38">
        <f t="shared" si="9"/>
        <v>-0.17553522052909099</v>
      </c>
      <c r="O6" s="35">
        <v>423.32799999999997</v>
      </c>
      <c r="P6" s="10">
        <f>O6/O3-1</f>
        <v>0.15284147231511636</v>
      </c>
      <c r="Q6" s="35">
        <f t="shared" si="1"/>
        <v>450.04742258121547</v>
      </c>
      <c r="R6" s="10">
        <f>Q6/Q3-1</f>
        <v>9.127166992627922E-2</v>
      </c>
      <c r="S6" s="25">
        <f t="shared" si="2"/>
        <v>445572.2197224808</v>
      </c>
      <c r="T6" s="25">
        <f t="shared" si="10"/>
        <v>8429.0509515921585</v>
      </c>
      <c r="U6" s="39">
        <f t="shared" si="11"/>
        <v>9.4900842795828E-2</v>
      </c>
      <c r="V6" s="36">
        <v>1622.2819999999999</v>
      </c>
      <c r="W6" s="9"/>
      <c r="X6" s="9">
        <v>2.2999999999999998</v>
      </c>
      <c r="Y6" s="37">
        <f t="shared" si="3"/>
        <v>2.5948071913514418E-3</v>
      </c>
      <c r="Z6" s="38">
        <f t="shared" si="4"/>
        <v>9.9438473240607769E-3</v>
      </c>
    </row>
    <row r="7" spans="1:26" x14ac:dyDescent="0.25">
      <c r="A7" t="s">
        <v>43</v>
      </c>
      <c r="B7" s="12">
        <f>'ODA-GNI time series'!B67</f>
        <v>4033.53</v>
      </c>
      <c r="C7">
        <f>B7-B6</f>
        <v>-175.97899999999981</v>
      </c>
      <c r="D7" s="5">
        <f t="shared" si="12"/>
        <v>-822.92671931470022</v>
      </c>
      <c r="E7" s="3">
        <f>B7/B6-1</f>
        <v>-4.1805113137898031E-2</v>
      </c>
      <c r="F7" s="3">
        <f t="shared" si="5"/>
        <v>-0.16945002640337012</v>
      </c>
      <c r="G7" s="35">
        <f>((110.7/108.6)-1)*100</f>
        <v>1.9337016574585641</v>
      </c>
      <c r="H7" s="33">
        <f t="shared" si="0"/>
        <v>1.1025896414342631</v>
      </c>
      <c r="I7" s="33">
        <f t="shared" si="6"/>
        <v>0.95881873531808814</v>
      </c>
      <c r="J7" s="25">
        <f>B7/I7</f>
        <v>4206.7701134999998</v>
      </c>
      <c r="K7" s="34">
        <f t="shared" si="7"/>
        <v>-268.4327452346688</v>
      </c>
      <c r="L7" s="34">
        <f t="shared" si="13"/>
        <v>-1247.5109951556997</v>
      </c>
      <c r="M7" s="10">
        <f t="shared" si="8"/>
        <v>-0.22872143373321108</v>
      </c>
      <c r="N7" s="10">
        <f t="shared" si="9"/>
        <v>-5.9982251913059947E-2</v>
      </c>
      <c r="O7" s="40">
        <v>439.375</v>
      </c>
      <c r="P7" s="10">
        <f>O7/O3-1</f>
        <v>0.19654197666692075</v>
      </c>
      <c r="Q7" s="35">
        <f>O7/I7</f>
        <v>458.24615625000001</v>
      </c>
      <c r="R7" s="10">
        <f>Q7/Q3-1</f>
        <v>0.11115189883793519</v>
      </c>
      <c r="S7" s="25">
        <f t="shared" si="2"/>
        <v>454039.38613649999</v>
      </c>
      <c r="T7" s="25">
        <f t="shared" si="10"/>
        <v>8467.166414019186</v>
      </c>
      <c r="U7" s="39">
        <f t="shared" si="11"/>
        <v>0.11570713913220265</v>
      </c>
      <c r="V7" s="36">
        <v>1699.6859999999999</v>
      </c>
      <c r="W7" s="9">
        <v>2.1</v>
      </c>
      <c r="X7" s="9">
        <v>5.9</v>
      </c>
      <c r="Y7" s="37">
        <f t="shared" si="3"/>
        <v>2.3731030319717877E-3</v>
      </c>
      <c r="Z7" s="38">
        <f t="shared" si="4"/>
        <v>9.1801536273115221E-3</v>
      </c>
    </row>
    <row r="8" spans="1:26" x14ac:dyDescent="0.25">
      <c r="A8" t="s">
        <v>42</v>
      </c>
      <c r="B8" s="25">
        <v>4077</v>
      </c>
      <c r="C8">
        <f>B8-B7</f>
        <v>43.4699999999998</v>
      </c>
      <c r="D8" s="5">
        <f t="shared" si="12"/>
        <v>-779.45671931470042</v>
      </c>
      <c r="E8" s="3">
        <f>B8/B7-1</f>
        <v>1.0777160452506873E-2</v>
      </c>
      <c r="F8" s="3">
        <f t="shared" si="5"/>
        <v>-0.16049905607409395</v>
      </c>
      <c r="G8" s="35">
        <v>2</v>
      </c>
      <c r="H8" s="33">
        <f>H7*(1+G8/100)</f>
        <v>1.1246414342629483</v>
      </c>
      <c r="I8" s="33">
        <f t="shared" si="6"/>
        <v>0.97799511002444983</v>
      </c>
      <c r="J8" s="25">
        <f t="shared" ref="J8:J10" si="14">B8/I8</f>
        <v>4168.7325000000001</v>
      </c>
      <c r="K8" s="34">
        <f t="shared" si="7"/>
        <v>-38.037613499999679</v>
      </c>
      <c r="L8" s="34">
        <f t="shared" si="13"/>
        <v>-1285.5486086556994</v>
      </c>
      <c r="M8" s="10">
        <f t="shared" si="8"/>
        <v>-0.23569533418722979</v>
      </c>
      <c r="N8" s="10">
        <f t="shared" si="9"/>
        <v>-9.041999556365754E-3</v>
      </c>
      <c r="O8" s="40">
        <v>459.9</v>
      </c>
      <c r="P8" s="10">
        <f>O8/O3-1</f>
        <v>0.25243733728390749</v>
      </c>
      <c r="Q8" s="35">
        <f t="shared" si="1"/>
        <v>470.24775</v>
      </c>
      <c r="R8" s="10">
        <f>Q8/Q3-1</f>
        <v>0.14025327481787619</v>
      </c>
      <c r="S8" s="25">
        <f t="shared" si="2"/>
        <v>466079.01750000002</v>
      </c>
      <c r="T8" s="25">
        <f t="shared" si="10"/>
        <v>12039.631363500026</v>
      </c>
      <c r="U8" s="39">
        <f t="shared" si="11"/>
        <v>0.14529202334032854</v>
      </c>
      <c r="V8" s="41">
        <f>V7*(1+X8/100)</f>
        <v>1771.9226549999998</v>
      </c>
      <c r="W8" s="9">
        <v>2.75</v>
      </c>
      <c r="X8" s="9">
        <v>4.25</v>
      </c>
      <c r="Y8" s="37">
        <f t="shared" si="3"/>
        <v>2.3008904979546075E-3</v>
      </c>
      <c r="Z8" s="38">
        <f t="shared" si="4"/>
        <v>8.8649706457925633E-3</v>
      </c>
    </row>
    <row r="9" spans="1:26" x14ac:dyDescent="0.25">
      <c r="A9" t="s">
        <v>74</v>
      </c>
      <c r="B9" s="25">
        <v>4161</v>
      </c>
      <c r="C9">
        <f t="shared" ref="C9" si="15">B9-B8</f>
        <v>84</v>
      </c>
      <c r="D9" s="5">
        <f t="shared" si="12"/>
        <v>-695.45671931470042</v>
      </c>
      <c r="E9" s="3">
        <f t="shared" ref="E9" si="16">B9/B8-1</f>
        <v>2.0603384841795469E-2</v>
      </c>
      <c r="F9" s="3">
        <f t="shared" si="5"/>
        <v>-0.14320249505133797</v>
      </c>
      <c r="G9" s="9">
        <v>2.25</v>
      </c>
      <c r="H9" s="33">
        <f t="shared" si="0"/>
        <v>1.1499458665338647</v>
      </c>
      <c r="I9" s="33">
        <v>1</v>
      </c>
      <c r="J9" s="25">
        <f t="shared" si="14"/>
        <v>4161</v>
      </c>
      <c r="K9" s="34">
        <f t="shared" si="7"/>
        <v>-7.7325000000000728</v>
      </c>
      <c r="L9" s="34">
        <f t="shared" si="13"/>
        <v>-1293.2811086556994</v>
      </c>
      <c r="M9" s="10">
        <f t="shared" si="8"/>
        <v>-0.23711302789350558</v>
      </c>
      <c r="N9" s="10">
        <f t="shared" si="9"/>
        <v>-1.8548803503223299E-3</v>
      </c>
      <c r="O9" s="35">
        <v>484.6</v>
      </c>
      <c r="P9" s="10">
        <f>O9/O3-1</f>
        <v>0.31970239975599402</v>
      </c>
      <c r="Q9" s="35">
        <f t="shared" si="1"/>
        <v>484.6</v>
      </c>
      <c r="R9" s="10">
        <f>Q9/Q3-1</f>
        <v>0.17505450473020412</v>
      </c>
      <c r="S9" s="25">
        <f t="shared" si="2"/>
        <v>480439</v>
      </c>
      <c r="T9" s="25">
        <f t="shared" si="10"/>
        <v>14359.982499999984</v>
      </c>
      <c r="U9" s="39">
        <f t="shared" si="11"/>
        <v>0.18057868674940747</v>
      </c>
      <c r="V9" s="36">
        <f>V8*(1+X9/100)</f>
        <v>1838.3697545625</v>
      </c>
      <c r="W9" s="9">
        <v>3</v>
      </c>
      <c r="X9" s="9">
        <v>3.75</v>
      </c>
      <c r="Y9" s="37">
        <f t="shared" si="3"/>
        <v>2.2634184389038999E-3</v>
      </c>
      <c r="Z9" s="38">
        <f t="shared" si="4"/>
        <v>8.5864630623194386E-3</v>
      </c>
    </row>
    <row r="10" spans="1:26" x14ac:dyDescent="0.25">
      <c r="A10" t="s">
        <v>118</v>
      </c>
      <c r="B10" s="25">
        <v>4170</v>
      </c>
      <c r="C10" s="12">
        <f>B10-B9</f>
        <v>9</v>
      </c>
      <c r="D10" s="5">
        <f t="shared" si="12"/>
        <v>-686.45671931470042</v>
      </c>
      <c r="E10" s="3">
        <f>B10/B9-1</f>
        <v>2.1629416005768398E-3</v>
      </c>
      <c r="F10" s="3">
        <f t="shared" si="5"/>
        <v>-0.14134929208461411</v>
      </c>
      <c r="G10" s="9">
        <v>2.5</v>
      </c>
      <c r="H10" s="33">
        <f t="shared" si="0"/>
        <v>1.1786945131972111</v>
      </c>
      <c r="I10" s="33">
        <f t="shared" si="6"/>
        <v>1.0249999999999999</v>
      </c>
      <c r="J10" s="25">
        <f t="shared" si="14"/>
        <v>4068.2926829268295</v>
      </c>
      <c r="K10" s="34">
        <f>J10-J9</f>
        <v>-92.707317073170543</v>
      </c>
      <c r="L10" s="34">
        <f t="shared" ref="L10" si="17">J10-J$3</f>
        <v>-1385.98842572887</v>
      </c>
      <c r="M10" s="10">
        <f t="shared" si="8"/>
        <v>-0.25411019309755939</v>
      </c>
      <c r="N10" s="10">
        <f>J10/J9-1</f>
        <v>-2.228005697504698E-2</v>
      </c>
      <c r="O10" s="35">
        <v>497.5</v>
      </c>
      <c r="P10" s="10">
        <f>O10/O3-1</f>
        <v>0.35483273602684062</v>
      </c>
      <c r="Q10" s="35">
        <f t="shared" si="1"/>
        <v>485.36585365853665</v>
      </c>
      <c r="R10" s="10">
        <f>Q10/Q3-1</f>
        <v>0.17691154103112772</v>
      </c>
      <c r="S10" s="25">
        <f t="shared" si="2"/>
        <v>481297.56097560981</v>
      </c>
      <c r="T10" s="25">
        <f>S10-S9</f>
        <v>858.56097560981289</v>
      </c>
      <c r="U10" s="39">
        <f t="shared" si="11"/>
        <v>0.18268842136520624</v>
      </c>
      <c r="V10" s="36">
        <f>V9*(1+X10/100)</f>
        <v>1925.692317904219</v>
      </c>
      <c r="W10" s="9">
        <v>3</v>
      </c>
      <c r="X10" s="9">
        <v>4.75</v>
      </c>
      <c r="Y10" s="37">
        <f t="shared" si="3"/>
        <v>2.1654549697421649E-3</v>
      </c>
      <c r="Z10" s="38">
        <f t="shared" si="4"/>
        <v>8.3819095477386946E-3</v>
      </c>
    </row>
    <row r="11" spans="1:26" x14ac:dyDescent="0.25">
      <c r="A11" t="s">
        <v>139</v>
      </c>
      <c r="B11" s="25">
        <v>4000</v>
      </c>
      <c r="C11" s="12">
        <f>B11-B10</f>
        <v>-170</v>
      </c>
      <c r="D11" s="5">
        <f t="shared" si="12"/>
        <v>-856.45671931470042</v>
      </c>
      <c r="E11" s="3">
        <f>B11/B10-1</f>
        <v>-4.0767386091127067E-2</v>
      </c>
      <c r="F11" s="3">
        <f t="shared" si="5"/>
        <v>-0.17635423701162026</v>
      </c>
      <c r="G11" s="9">
        <v>2.5</v>
      </c>
      <c r="H11" s="33">
        <f t="shared" si="0"/>
        <v>1.2081618760271413</v>
      </c>
      <c r="I11" s="33">
        <f t="shared" si="6"/>
        <v>1.0506249999999997</v>
      </c>
      <c r="J11" s="25">
        <f t="shared" ref="J11" si="18">B11/I11</f>
        <v>3807.2575847709709</v>
      </c>
      <c r="K11" s="34">
        <f>J11-J10</f>
        <v>-261.03509815585858</v>
      </c>
      <c r="L11" s="34">
        <f t="shared" ref="L11" si="19">J11-J$3</f>
        <v>-1647.0235238847285</v>
      </c>
      <c r="M11" s="10">
        <f t="shared" ref="M11" si="20">L11/J$3</f>
        <v>-0.30196894715803629</v>
      </c>
      <c r="N11" s="10">
        <f>J11/J10-1</f>
        <v>-6.4163303503538383E-2</v>
      </c>
      <c r="O11" s="35">
        <v>514.5</v>
      </c>
      <c r="P11" s="10">
        <f>O11/O$3-1</f>
        <v>0.40112852801167742</v>
      </c>
      <c r="Q11" s="35">
        <f t="shared" si="1"/>
        <v>489.70850684116613</v>
      </c>
      <c r="R11" s="10">
        <f>Q11/Q$3-1</f>
        <v>0.18744157442924925</v>
      </c>
      <c r="S11" s="25">
        <f t="shared" si="2"/>
        <v>485901.24925639515</v>
      </c>
      <c r="T11" s="25">
        <f>S11-S10</f>
        <v>4603.6882807853399</v>
      </c>
      <c r="U11" s="39">
        <f t="shared" ref="U11" si="21">S11/S$3-1</f>
        <v>0.19400102559744625</v>
      </c>
      <c r="V11" s="36">
        <f>V10*(1+X11/100)</f>
        <v>2012.3484722099088</v>
      </c>
      <c r="W11" s="9">
        <v>3</v>
      </c>
      <c r="X11" s="9">
        <v>4.5</v>
      </c>
      <c r="Y11" s="37">
        <f t="shared" si="3"/>
        <v>1.9877273023231924E-3</v>
      </c>
      <c r="Z11" s="38">
        <f t="shared" si="4"/>
        <v>7.7745383867832852E-3</v>
      </c>
    </row>
    <row r="12" spans="1:26" x14ac:dyDescent="0.25">
      <c r="A12" t="s">
        <v>154</v>
      </c>
      <c r="B12" s="25">
        <v>4000</v>
      </c>
      <c r="C12" s="12">
        <f>B12-B11</f>
        <v>0</v>
      </c>
      <c r="D12" s="5">
        <f t="shared" si="12"/>
        <v>-856.45671931470042</v>
      </c>
      <c r="E12" s="3">
        <f>B12/B11-1</f>
        <v>0</v>
      </c>
      <c r="F12" s="3">
        <f>D12/B$3</f>
        <v>-0.17635423701162026</v>
      </c>
      <c r="G12" s="9">
        <v>2.5</v>
      </c>
      <c r="H12" s="33">
        <f t="shared" ref="H12" si="22">H11*(1+G12/100)</f>
        <v>1.2383659229278197</v>
      </c>
      <c r="I12" s="33">
        <f t="shared" si="6"/>
        <v>1.0768906249999997</v>
      </c>
      <c r="J12" s="25">
        <f t="shared" ref="J12" si="23">B12/I12</f>
        <v>3714.3976436789958</v>
      </c>
      <c r="K12" s="34">
        <f>J12-J11</f>
        <v>-92.859941091975088</v>
      </c>
      <c r="L12" s="34">
        <f t="shared" ref="L12" si="24">J12-J$3</f>
        <v>-1739.8834649767036</v>
      </c>
      <c r="M12" s="10">
        <f t="shared" ref="M12" si="25">L12/J$3</f>
        <v>-0.31899409478832813</v>
      </c>
      <c r="N12" s="10">
        <f>J12/J11-1</f>
        <v>-2.4390243902439046E-2</v>
      </c>
      <c r="O12" s="35">
        <v>537.29999999999995</v>
      </c>
      <c r="P12" s="10">
        <f>O12/O$3-1</f>
        <v>0.4632193549089878</v>
      </c>
      <c r="Q12" s="35">
        <f t="shared" si="1"/>
        <v>498.93646348718107</v>
      </c>
      <c r="R12" s="10">
        <f>Q12/Q$3-1</f>
        <v>0.20981745562271792</v>
      </c>
      <c r="S12" s="25">
        <f t="shared" si="2"/>
        <v>495222.06584350206</v>
      </c>
      <c r="T12" s="25">
        <f>S12-S11</f>
        <v>9320.8165871069068</v>
      </c>
      <c r="U12" s="39">
        <f t="shared" ref="U12" si="26">S12/S$3-1</f>
        <v>0.21690498927616253</v>
      </c>
      <c r="V12" s="36">
        <f>V11*(1+X12/100)</f>
        <v>2102.9041534593543</v>
      </c>
      <c r="W12" s="9">
        <v>3</v>
      </c>
      <c r="X12" s="9">
        <v>4.5</v>
      </c>
      <c r="Y12" s="37">
        <f t="shared" si="3"/>
        <v>1.9021313897829596E-3</v>
      </c>
      <c r="Z12" s="38">
        <f t="shared" si="4"/>
        <v>7.4446305602084506E-3</v>
      </c>
    </row>
    <row r="13" spans="1:26" x14ac:dyDescent="0.25">
      <c r="G13" s="42">
        <f>H9</f>
        <v>1.1499458665338647</v>
      </c>
      <c r="H13" s="7" t="s">
        <v>151</v>
      </c>
    </row>
    <row r="14" spans="1:26" x14ac:dyDescent="0.25">
      <c r="J14" s="3">
        <f>J11/J7-1</f>
        <v>-9.4968947185145258E-2</v>
      </c>
      <c r="O14">
        <f>O12/O8-1</f>
        <v>0.16829745596868873</v>
      </c>
    </row>
    <row r="15" spans="1:26" x14ac:dyDescent="0.25">
      <c r="C15" s="56"/>
    </row>
    <row r="16" spans="1:26" x14ac:dyDescent="0.25">
      <c r="C16" s="56"/>
    </row>
    <row r="18" spans="1:1" x14ac:dyDescent="0.25">
      <c r="A18" s="7" t="s">
        <v>54</v>
      </c>
    </row>
    <row r="20" spans="1:1" x14ac:dyDescent="0.25">
      <c r="A20" s="16" t="s">
        <v>89</v>
      </c>
    </row>
    <row r="21" spans="1:1" x14ac:dyDescent="0.25">
      <c r="A21" s="19" t="s">
        <v>187</v>
      </c>
    </row>
    <row r="22" spans="1:1" x14ac:dyDescent="0.25">
      <c r="A22" t="s">
        <v>196</v>
      </c>
    </row>
    <row r="23" spans="1:1" x14ac:dyDescent="0.25">
      <c r="A23" s="16" t="s">
        <v>126</v>
      </c>
    </row>
    <row r="24" spans="1:1" x14ac:dyDescent="0.25">
      <c r="A24" s="9" t="s">
        <v>197</v>
      </c>
    </row>
    <row r="25" spans="1:1" x14ac:dyDescent="0.25">
      <c r="A25" s="16" t="s">
        <v>90</v>
      </c>
    </row>
    <row r="26" spans="1:1" x14ac:dyDescent="0.25">
      <c r="A26" t="s">
        <v>186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Z144"/>
  <sheetViews>
    <sheetView zoomScale="80" zoomScaleNormal="80" workbookViewId="0">
      <pane ySplit="10" topLeftCell="A47" activePane="bottomLeft" state="frozen"/>
      <selection activeCell="B8" sqref="B8:B50"/>
      <selection pane="bottomLeft" activeCell="B5" sqref="B5"/>
    </sheetView>
  </sheetViews>
  <sheetFormatPr defaultColWidth="27.140625" defaultRowHeight="15" outlineLevelCol="1" x14ac:dyDescent="0.25"/>
  <cols>
    <col min="1" max="1" width="16.5703125" customWidth="1"/>
    <col min="2" max="3" width="21.42578125" customWidth="1"/>
    <col min="4" max="4" width="21.42578125" style="19" hidden="1" customWidth="1"/>
    <col min="5" max="5" width="21.42578125" style="19" customWidth="1"/>
    <col min="6" max="6" width="23.7109375" customWidth="1" outlineLevel="1"/>
    <col min="7" max="7" width="24.5703125" bestFit="1" customWidth="1"/>
    <col min="8" max="8" width="22.140625" customWidth="1"/>
    <col min="9" max="9" width="15.28515625" bestFit="1" customWidth="1"/>
    <col min="10" max="10" width="22" bestFit="1" customWidth="1"/>
    <col min="11" max="11" width="25.85546875" bestFit="1" customWidth="1"/>
    <col min="12" max="12" width="23.7109375" customWidth="1"/>
    <col min="13" max="13" width="4.140625" customWidth="1"/>
    <col min="14" max="14" width="20" bestFit="1" customWidth="1"/>
    <col min="17" max="17" width="4.85546875" customWidth="1"/>
    <col min="19" max="19" width="3" customWidth="1"/>
    <col min="26" max="26" width="52.5703125" bestFit="1" customWidth="1"/>
  </cols>
  <sheetData>
    <row r="1" spans="1:26" x14ac:dyDescent="0.25">
      <c r="A1" s="7" t="s">
        <v>54</v>
      </c>
    </row>
    <row r="2" spans="1:26" x14ac:dyDescent="0.25">
      <c r="A2" s="7" t="s">
        <v>239</v>
      </c>
      <c r="B2" t="s">
        <v>240</v>
      </c>
      <c r="R2" s="7" t="s">
        <v>88</v>
      </c>
      <c r="T2" s="7" t="s">
        <v>188</v>
      </c>
    </row>
    <row r="3" spans="1:26" x14ac:dyDescent="0.25">
      <c r="A3" s="7" t="s">
        <v>241</v>
      </c>
      <c r="B3" t="s">
        <v>243</v>
      </c>
      <c r="T3" s="9"/>
    </row>
    <row r="4" spans="1:26" x14ac:dyDescent="0.25">
      <c r="A4" s="87" t="s">
        <v>242</v>
      </c>
      <c r="B4" s="9" t="s">
        <v>244</v>
      </c>
      <c r="C4" s="1"/>
      <c r="D4" s="70"/>
      <c r="E4" s="70"/>
    </row>
    <row r="5" spans="1:26" x14ac:dyDescent="0.25">
      <c r="A5" s="7" t="s">
        <v>227</v>
      </c>
      <c r="B5" s="1" t="s">
        <v>229</v>
      </c>
      <c r="C5" s="1"/>
      <c r="D5" s="70"/>
      <c r="E5" s="70"/>
    </row>
    <row r="6" spans="1:26" ht="9.75" customHeight="1" x14ac:dyDescent="0.25"/>
    <row r="7" spans="1:26" s="11" customFormat="1" ht="30" x14ac:dyDescent="0.25">
      <c r="A7" s="79"/>
      <c r="B7" s="79" t="s">
        <v>56</v>
      </c>
      <c r="C7" s="79"/>
      <c r="D7" s="84"/>
      <c r="E7" s="84"/>
      <c r="F7" s="88" t="s">
        <v>72</v>
      </c>
      <c r="G7" s="88"/>
      <c r="H7" s="79" t="s">
        <v>57</v>
      </c>
      <c r="I7" s="79" t="s">
        <v>58</v>
      </c>
      <c r="J7" s="79"/>
      <c r="K7" s="79"/>
      <c r="L7" s="79"/>
    </row>
    <row r="8" spans="1:26" x14ac:dyDescent="0.25">
      <c r="A8" s="80" t="s">
        <v>40</v>
      </c>
      <c r="B8" s="80" t="s">
        <v>59</v>
      </c>
      <c r="C8" s="80" t="s">
        <v>219</v>
      </c>
      <c r="D8" s="85"/>
      <c r="E8" s="85"/>
      <c r="F8" s="89" t="s">
        <v>59</v>
      </c>
      <c r="G8" s="89"/>
      <c r="H8" s="80" t="s">
        <v>60</v>
      </c>
      <c r="I8" s="80" t="s">
        <v>60</v>
      </c>
      <c r="J8" s="80" t="s">
        <v>59</v>
      </c>
      <c r="K8" s="80" t="s">
        <v>59</v>
      </c>
      <c r="L8" s="80" t="s">
        <v>121</v>
      </c>
    </row>
    <row r="9" spans="1:26" ht="45" x14ac:dyDescent="0.25">
      <c r="A9" s="80" t="s">
        <v>61</v>
      </c>
      <c r="B9" s="79" t="s">
        <v>228</v>
      </c>
      <c r="C9" s="80" t="s">
        <v>202</v>
      </c>
      <c r="D9" s="85" t="s">
        <v>203</v>
      </c>
      <c r="E9" s="84" t="s">
        <v>238</v>
      </c>
      <c r="F9" s="89" t="s">
        <v>46</v>
      </c>
      <c r="G9" s="89"/>
      <c r="H9" s="80" t="s">
        <v>46</v>
      </c>
      <c r="I9" s="80" t="s">
        <v>46</v>
      </c>
      <c r="J9" s="80" t="s">
        <v>73</v>
      </c>
      <c r="K9" s="80" t="s">
        <v>73</v>
      </c>
      <c r="L9" s="80" t="s">
        <v>122</v>
      </c>
    </row>
    <row r="10" spans="1:26" ht="30" x14ac:dyDescent="0.25">
      <c r="A10" s="80" t="s">
        <v>62</v>
      </c>
      <c r="B10" s="80" t="s">
        <v>63</v>
      </c>
      <c r="C10" s="80"/>
      <c r="D10" s="85"/>
      <c r="E10" s="85"/>
      <c r="F10" s="80" t="s">
        <v>71</v>
      </c>
      <c r="G10" s="80" t="s">
        <v>152</v>
      </c>
      <c r="H10" s="80" t="s">
        <v>64</v>
      </c>
      <c r="I10" s="80" t="s">
        <v>65</v>
      </c>
      <c r="J10" s="80" t="s">
        <v>63</v>
      </c>
      <c r="K10" s="80" t="s">
        <v>153</v>
      </c>
      <c r="L10" s="79" t="s">
        <v>237</v>
      </c>
      <c r="Z10" s="20" t="s">
        <v>138</v>
      </c>
    </row>
    <row r="11" spans="1:26" x14ac:dyDescent="0.25">
      <c r="D11"/>
      <c r="E11"/>
      <c r="Z11" s="20"/>
    </row>
    <row r="12" spans="1:26" x14ac:dyDescent="0.25">
      <c r="A12" t="s">
        <v>127</v>
      </c>
      <c r="B12" s="1">
        <v>64</v>
      </c>
      <c r="C12" s="1">
        <v>17.806000000000001</v>
      </c>
      <c r="D12" s="73">
        <v>7.8</v>
      </c>
      <c r="E12" s="73">
        <f>D12/D$62*100</f>
        <v>7.7689243027888448</v>
      </c>
      <c r="F12" s="13">
        <f t="shared" ref="F12:F43" si="0">B12/E12*100</f>
        <v>823.79487179487182</v>
      </c>
      <c r="G12" s="13">
        <f>F12*'2018-19 budget'!G$13</f>
        <v>947.31950769230787</v>
      </c>
      <c r="H12" s="86" t="s">
        <v>137</v>
      </c>
      <c r="I12" s="8">
        <f t="shared" ref="I12:I43" si="1">B12/(C12*1000)*100</f>
        <v>0.35942940581826349</v>
      </c>
      <c r="J12" s="86" t="s">
        <v>137</v>
      </c>
      <c r="K12" s="86" t="s">
        <v>137</v>
      </c>
      <c r="L12" s="33">
        <f>B12/G12</f>
        <v>6.7559043680949282E-2</v>
      </c>
      <c r="M12" s="8"/>
      <c r="Y12" s="21">
        <v>22798</v>
      </c>
      <c r="Z12" s="23">
        <v>-1.3</v>
      </c>
    </row>
    <row r="13" spans="1:26" x14ac:dyDescent="0.25">
      <c r="A13" t="s">
        <v>128</v>
      </c>
      <c r="B13" s="1">
        <v>75</v>
      </c>
      <c r="C13" s="1">
        <v>19.14</v>
      </c>
      <c r="D13" s="73">
        <v>7.8</v>
      </c>
      <c r="E13" s="73">
        <f t="shared" ref="E13:E67" si="2">D13/D$62*100</f>
        <v>7.7689243027888448</v>
      </c>
      <c r="F13" s="13">
        <f t="shared" si="0"/>
        <v>965.38461538461536</v>
      </c>
      <c r="G13" s="13">
        <f>F13*'2018-19 budget'!G$13</f>
        <v>1110.1400480769232</v>
      </c>
      <c r="H13" s="3">
        <f t="shared" ref="H13:H44" si="3">(F13-F12)/F12</f>
        <v>0.17187499999999992</v>
      </c>
      <c r="I13" s="8">
        <f t="shared" si="1"/>
        <v>0.3918495297805642</v>
      </c>
      <c r="J13" s="13">
        <f t="shared" ref="J13:J44" si="4">B13-B12</f>
        <v>11</v>
      </c>
      <c r="K13" s="13">
        <f>G13-G12</f>
        <v>162.82054038461536</v>
      </c>
      <c r="L13" s="33">
        <f t="shared" ref="L13:L72" si="5">B13/G13</f>
        <v>6.7559043680949296E-2</v>
      </c>
      <c r="M13" s="8"/>
      <c r="Y13" s="21">
        <v>23163</v>
      </c>
      <c r="Z13" s="23">
        <v>0</v>
      </c>
    </row>
    <row r="14" spans="1:26" x14ac:dyDescent="0.25">
      <c r="A14" t="s">
        <v>129</v>
      </c>
      <c r="B14" s="1">
        <v>86</v>
      </c>
      <c r="C14" s="1">
        <v>21.206</v>
      </c>
      <c r="D14" s="73">
        <v>8</v>
      </c>
      <c r="E14" s="73">
        <f t="shared" si="2"/>
        <v>7.9681274900398407</v>
      </c>
      <c r="F14" s="13">
        <f t="shared" si="0"/>
        <v>1079.3</v>
      </c>
      <c r="G14" s="13">
        <f>F14*'2018-19 budget'!G$13</f>
        <v>1241.13657375</v>
      </c>
      <c r="H14" s="3">
        <f t="shared" si="3"/>
        <v>0.11799999999999998</v>
      </c>
      <c r="I14" s="8">
        <f t="shared" si="1"/>
        <v>0.40554560030180137</v>
      </c>
      <c r="J14" s="13">
        <f t="shared" si="4"/>
        <v>11</v>
      </c>
      <c r="K14" s="13">
        <f t="shared" ref="K14:K72" si="6">G14-G13</f>
        <v>130.9965256730768</v>
      </c>
      <c r="L14" s="33">
        <f t="shared" si="5"/>
        <v>6.9291326852255683E-2</v>
      </c>
      <c r="M14" s="8"/>
      <c r="Y14" s="21">
        <v>23529</v>
      </c>
      <c r="Z14" s="23">
        <v>2.6</v>
      </c>
    </row>
    <row r="15" spans="1:26" x14ac:dyDescent="0.25">
      <c r="A15" t="s">
        <v>130</v>
      </c>
      <c r="B15" s="1">
        <v>95.778999999999996</v>
      </c>
      <c r="C15" s="1">
        <v>23.216999999999999</v>
      </c>
      <c r="D15" s="73">
        <v>8.3000000000000007</v>
      </c>
      <c r="E15" s="73">
        <f t="shared" si="2"/>
        <v>8.2669322709163335</v>
      </c>
      <c r="F15" s="13">
        <f t="shared" si="0"/>
        <v>1158.5797108433735</v>
      </c>
      <c r="G15" s="13">
        <f>F15*'2018-19 budget'!G$13</f>
        <v>1332.3039495343376</v>
      </c>
      <c r="H15" s="3">
        <f t="shared" si="3"/>
        <v>7.3454749229476105E-2</v>
      </c>
      <c r="I15" s="8">
        <f t="shared" si="1"/>
        <v>0.41253822629969417</v>
      </c>
      <c r="J15" s="13">
        <f t="shared" si="4"/>
        <v>9.7789999999999964</v>
      </c>
      <c r="K15" s="13">
        <f t="shared" si="6"/>
        <v>91.167375784337537</v>
      </c>
      <c r="L15" s="33">
        <f t="shared" si="5"/>
        <v>7.1889751609215263E-2</v>
      </c>
      <c r="M15" s="8"/>
      <c r="Y15" s="21">
        <v>23894</v>
      </c>
      <c r="Z15" s="23">
        <v>3.8</v>
      </c>
    </row>
    <row r="16" spans="1:26" x14ac:dyDescent="0.25">
      <c r="A16" t="s">
        <v>131</v>
      </c>
      <c r="B16" s="1">
        <v>107.122</v>
      </c>
      <c r="C16" s="1">
        <v>24.285</v>
      </c>
      <c r="D16" s="73">
        <v>8.6</v>
      </c>
      <c r="E16" s="73">
        <f t="shared" si="2"/>
        <v>8.5657370517928282</v>
      </c>
      <c r="F16" s="13">
        <f t="shared" si="0"/>
        <v>1250.587069767442</v>
      </c>
      <c r="G16" s="13">
        <f>F16*'2018-19 budget'!G$13</f>
        <v>1438.1074316197678</v>
      </c>
      <c r="H16" s="3">
        <f t="shared" si="3"/>
        <v>7.9413922117704719E-2</v>
      </c>
      <c r="I16" s="8">
        <f t="shared" si="1"/>
        <v>0.44110356186946675</v>
      </c>
      <c r="J16" s="13">
        <f t="shared" si="4"/>
        <v>11.343000000000004</v>
      </c>
      <c r="K16" s="13">
        <f t="shared" si="6"/>
        <v>105.80348208543023</v>
      </c>
      <c r="L16" s="33">
        <f t="shared" si="5"/>
        <v>7.4488176366174844E-2</v>
      </c>
      <c r="M16" s="8"/>
      <c r="Y16" s="21">
        <v>24259</v>
      </c>
      <c r="Z16" s="23">
        <v>3.6</v>
      </c>
    </row>
    <row r="17" spans="1:26" x14ac:dyDescent="0.25">
      <c r="A17" t="s">
        <v>132</v>
      </c>
      <c r="B17" s="1">
        <v>124.38800000000001</v>
      </c>
      <c r="C17" s="1">
        <v>26.939</v>
      </c>
      <c r="D17" s="73">
        <v>8.9</v>
      </c>
      <c r="E17" s="73">
        <f t="shared" si="2"/>
        <v>8.8645418326693228</v>
      </c>
      <c r="F17" s="13">
        <f t="shared" si="0"/>
        <v>1403.2084494382023</v>
      </c>
      <c r="G17" s="13">
        <f>F17*'2018-19 budget'!G$13</f>
        <v>1613.6137563168541</v>
      </c>
      <c r="H17" s="3">
        <f t="shared" si="3"/>
        <v>0.12203978704109068</v>
      </c>
      <c r="I17" s="8">
        <f t="shared" si="1"/>
        <v>0.46173948550428745</v>
      </c>
      <c r="J17" s="13">
        <f t="shared" si="4"/>
        <v>17.266000000000005</v>
      </c>
      <c r="K17" s="13">
        <f t="shared" si="6"/>
        <v>175.50632469708626</v>
      </c>
      <c r="L17" s="33">
        <f t="shared" si="5"/>
        <v>7.7086601123134452E-2</v>
      </c>
      <c r="M17" s="8"/>
      <c r="Y17" s="21">
        <v>24624</v>
      </c>
      <c r="Z17" s="23">
        <v>3.5</v>
      </c>
    </row>
    <row r="18" spans="1:26" x14ac:dyDescent="0.25">
      <c r="A18" t="s">
        <v>133</v>
      </c>
      <c r="B18" s="1">
        <v>139.721</v>
      </c>
      <c r="C18" s="1">
        <v>28.884</v>
      </c>
      <c r="D18" s="73">
        <v>9.1</v>
      </c>
      <c r="E18" s="73">
        <f t="shared" si="2"/>
        <v>9.0637450199203169</v>
      </c>
      <c r="F18" s="13">
        <f t="shared" si="0"/>
        <v>1541.537186813187</v>
      </c>
      <c r="G18" s="13">
        <f>F18*'2018-19 budget'!G$13</f>
        <v>1772.6843160840663</v>
      </c>
      <c r="H18" s="3">
        <f t="shared" si="3"/>
        <v>9.8580319574306241E-2</v>
      </c>
      <c r="I18" s="8">
        <f t="shared" si="1"/>
        <v>0.48373147763467672</v>
      </c>
      <c r="J18" s="13">
        <f t="shared" si="4"/>
        <v>15.332999999999998</v>
      </c>
      <c r="K18" s="13">
        <f t="shared" si="6"/>
        <v>159.07055976721222</v>
      </c>
      <c r="L18" s="33">
        <f t="shared" si="5"/>
        <v>7.8818884294440839E-2</v>
      </c>
      <c r="M18" s="8"/>
      <c r="Y18" s="21">
        <v>24990</v>
      </c>
      <c r="Z18" s="23">
        <v>2.2000000000000002</v>
      </c>
    </row>
    <row r="19" spans="1:26" x14ac:dyDescent="0.25">
      <c r="A19" t="s">
        <v>134</v>
      </c>
      <c r="B19" s="1">
        <v>149.70400000000001</v>
      </c>
      <c r="C19" s="1">
        <v>32.216000000000001</v>
      </c>
      <c r="D19" s="73">
        <v>9.4</v>
      </c>
      <c r="E19" s="73">
        <f t="shared" si="2"/>
        <v>9.3625498007968133</v>
      </c>
      <c r="F19" s="13">
        <f t="shared" si="0"/>
        <v>1598.9661276595746</v>
      </c>
      <c r="G19" s="13">
        <f>F19*'2018-19 budget'!G$13</f>
        <v>1838.7244892297874</v>
      </c>
      <c r="H19" s="3">
        <f t="shared" si="3"/>
        <v>3.7254333750527419E-2</v>
      </c>
      <c r="I19" s="8">
        <f t="shared" si="1"/>
        <v>0.4646883536131115</v>
      </c>
      <c r="J19" s="13">
        <f t="shared" si="4"/>
        <v>9.9830000000000041</v>
      </c>
      <c r="K19" s="13">
        <f t="shared" si="6"/>
        <v>66.040173145721155</v>
      </c>
      <c r="L19" s="33">
        <f t="shared" si="5"/>
        <v>8.1417309051400433E-2</v>
      </c>
      <c r="M19" s="8"/>
      <c r="Y19" s="21">
        <v>25355</v>
      </c>
      <c r="Z19" s="23">
        <v>3.3</v>
      </c>
    </row>
    <row r="20" spans="1:26" x14ac:dyDescent="0.25">
      <c r="A20" t="s">
        <v>135</v>
      </c>
      <c r="B20" s="1">
        <v>165.726</v>
      </c>
      <c r="C20" s="1">
        <v>36.420999999999999</v>
      </c>
      <c r="D20" s="73">
        <v>9.6999999999999993</v>
      </c>
      <c r="E20" s="73">
        <f t="shared" si="2"/>
        <v>9.6613545816733044</v>
      </c>
      <c r="F20" s="13">
        <f t="shared" si="0"/>
        <v>1715.3495257731961</v>
      </c>
      <c r="G20" s="13">
        <f>F20*'2018-19 budget'!G$13</f>
        <v>1972.5590968237118</v>
      </c>
      <c r="H20" s="3">
        <f t="shared" si="3"/>
        <v>7.2786656390259663E-2</v>
      </c>
      <c r="I20" s="8">
        <f t="shared" si="1"/>
        <v>0.45502869223799458</v>
      </c>
      <c r="J20" s="13">
        <f t="shared" si="4"/>
        <v>16.021999999999991</v>
      </c>
      <c r="K20" s="13">
        <f t="shared" si="6"/>
        <v>133.83460759392437</v>
      </c>
      <c r="L20" s="33">
        <f t="shared" si="5"/>
        <v>8.4015733808359999E-2</v>
      </c>
      <c r="M20" s="8"/>
      <c r="Y20" s="21">
        <v>25720</v>
      </c>
      <c r="Z20" s="23">
        <v>3.2</v>
      </c>
    </row>
    <row r="21" spans="1:26" x14ac:dyDescent="0.25">
      <c r="A21" t="s">
        <v>136</v>
      </c>
      <c r="B21">
        <v>176.7</v>
      </c>
      <c r="C21" s="1">
        <v>39.856000000000002</v>
      </c>
      <c r="D21" s="73">
        <v>10.199999999999999</v>
      </c>
      <c r="E21" s="73">
        <f t="shared" si="2"/>
        <v>10.159362549800797</v>
      </c>
      <c r="F21" s="13">
        <f t="shared" si="0"/>
        <v>1739.2823529411764</v>
      </c>
      <c r="G21" s="13">
        <f>F21*'2018-19 budget'!G$13</f>
        <v>2000.0805525000001</v>
      </c>
      <c r="H21" s="3">
        <f t="shared" si="3"/>
        <v>1.3952157743007272E-2</v>
      </c>
      <c r="I21" s="8">
        <f t="shared" si="1"/>
        <v>0.44334604576475312</v>
      </c>
      <c r="J21" s="13">
        <f t="shared" si="4"/>
        <v>10.97399999999999</v>
      </c>
      <c r="K21" s="13">
        <f t="shared" si="6"/>
        <v>27.521455676288269</v>
      </c>
      <c r="L21" s="33">
        <f t="shared" si="5"/>
        <v>8.8346441736625994E-2</v>
      </c>
      <c r="M21" s="8"/>
      <c r="Y21" s="22">
        <v>26114</v>
      </c>
      <c r="Z21" s="24">
        <v>5.2</v>
      </c>
    </row>
    <row r="22" spans="1:26" x14ac:dyDescent="0.25">
      <c r="A22" t="s">
        <v>66</v>
      </c>
      <c r="B22" s="13">
        <v>200.5</v>
      </c>
      <c r="C22" s="1">
        <v>44.277999999999999</v>
      </c>
      <c r="D22" s="73">
        <v>10.9</v>
      </c>
      <c r="E22" s="73">
        <f t="shared" si="2"/>
        <v>10.856573705179283</v>
      </c>
      <c r="F22" s="13">
        <f t="shared" si="0"/>
        <v>1846.8073394495414</v>
      </c>
      <c r="G22" s="13">
        <f>F22*'2018-19 budget'!G$13</f>
        <v>2123.728466284404</v>
      </c>
      <c r="H22" s="3">
        <f t="shared" si="3"/>
        <v>6.1821466955343435E-2</v>
      </c>
      <c r="I22" s="8">
        <f t="shared" si="1"/>
        <v>0.45282081394823609</v>
      </c>
      <c r="J22" s="13">
        <f t="shared" si="4"/>
        <v>23.800000000000011</v>
      </c>
      <c r="K22" s="13">
        <f t="shared" si="6"/>
        <v>123.64791378440395</v>
      </c>
      <c r="L22" s="33">
        <f t="shared" si="5"/>
        <v>9.4409432836198362E-2</v>
      </c>
      <c r="M22" s="14"/>
      <c r="Y22" s="22">
        <v>26480</v>
      </c>
      <c r="Z22" s="24">
        <v>6.9</v>
      </c>
    </row>
    <row r="23" spans="1:26" x14ac:dyDescent="0.25">
      <c r="A23" t="s">
        <v>67</v>
      </c>
      <c r="B23" s="13">
        <v>219.2</v>
      </c>
      <c r="C23" s="1">
        <v>49.764000000000003</v>
      </c>
      <c r="D23" s="73">
        <v>11.8</v>
      </c>
      <c r="E23" s="73">
        <f t="shared" si="2"/>
        <v>11.752988047808765</v>
      </c>
      <c r="F23" s="13">
        <f t="shared" si="0"/>
        <v>1865.0576271186437</v>
      </c>
      <c r="G23" s="13">
        <f>F23*'2018-19 budget'!G$13</f>
        <v>2144.715309152542</v>
      </c>
      <c r="H23" s="3">
        <f t="shared" si="3"/>
        <v>9.8820744748296472E-3</v>
      </c>
      <c r="I23" s="8">
        <f t="shared" si="1"/>
        <v>0.44047906116871632</v>
      </c>
      <c r="J23" s="13">
        <f t="shared" si="4"/>
        <v>18.699999999999989</v>
      </c>
      <c r="K23" s="13">
        <f t="shared" si="6"/>
        <v>20.986842868137956</v>
      </c>
      <c r="L23" s="33">
        <f t="shared" si="5"/>
        <v>0.10220470710707716</v>
      </c>
      <c r="M23" s="14"/>
    </row>
    <row r="24" spans="1:26" x14ac:dyDescent="0.25">
      <c r="A24" t="s">
        <v>68</v>
      </c>
      <c r="B24" s="13">
        <v>264.89999999999998</v>
      </c>
      <c r="C24" s="1">
        <v>60.05</v>
      </c>
      <c r="D24" s="73">
        <v>13.5</v>
      </c>
      <c r="E24" s="73">
        <f t="shared" si="2"/>
        <v>13.446215139442231</v>
      </c>
      <c r="F24" s="13">
        <f t="shared" si="0"/>
        <v>1970.0711111111111</v>
      </c>
      <c r="G24" s="13">
        <f>F24*'2018-19 budget'!G$13</f>
        <v>2265.4751310000001</v>
      </c>
      <c r="H24" s="3">
        <f t="shared" si="3"/>
        <v>5.6305758313057785E-2</v>
      </c>
      <c r="I24" s="8">
        <f t="shared" si="1"/>
        <v>0.44113238967527058</v>
      </c>
      <c r="J24" s="13">
        <f t="shared" si="4"/>
        <v>45.699999999999989</v>
      </c>
      <c r="K24" s="13">
        <f t="shared" si="6"/>
        <v>120.75982184745817</v>
      </c>
      <c r="L24" s="33">
        <f t="shared" si="5"/>
        <v>0.11692911406318146</v>
      </c>
      <c r="M24" s="14"/>
    </row>
    <row r="25" spans="1:26" x14ac:dyDescent="0.25">
      <c r="A25" s="9" t="s">
        <v>6</v>
      </c>
      <c r="B25" s="15">
        <v>334.6</v>
      </c>
      <c r="C25" s="74">
        <v>71.3</v>
      </c>
      <c r="D25" s="75">
        <v>15.8</v>
      </c>
      <c r="E25" s="73">
        <f t="shared" si="2"/>
        <v>15.737051792828685</v>
      </c>
      <c r="F25" s="13">
        <f t="shared" si="0"/>
        <v>2126.1924050632915</v>
      </c>
      <c r="G25" s="13">
        <f>F25*'2018-19 budget'!G$13</f>
        <v>2445.0061676582286</v>
      </c>
      <c r="H25" s="3">
        <f t="shared" si="3"/>
        <v>7.9246527230242308E-2</v>
      </c>
      <c r="I25" s="33">
        <f t="shared" si="1"/>
        <v>0.46928471248246845</v>
      </c>
      <c r="J25" s="13">
        <f t="shared" si="4"/>
        <v>69.700000000000045</v>
      </c>
      <c r="K25" s="13">
        <f t="shared" si="6"/>
        <v>179.53103665822846</v>
      </c>
      <c r="L25" s="33">
        <f t="shared" si="5"/>
        <v>0.13685037053320495</v>
      </c>
      <c r="M25" s="14"/>
    </row>
    <row r="26" spans="1:26" x14ac:dyDescent="0.25">
      <c r="A26" s="9" t="s">
        <v>7</v>
      </c>
      <c r="B26" s="15">
        <v>356</v>
      </c>
      <c r="C26" s="74">
        <v>83.221000000000004</v>
      </c>
      <c r="D26" s="75">
        <v>17.7</v>
      </c>
      <c r="E26" s="73">
        <f t="shared" si="2"/>
        <v>17.629482071713145</v>
      </c>
      <c r="F26" s="13">
        <f t="shared" si="0"/>
        <v>2019.3446327683616</v>
      </c>
      <c r="G26" s="13">
        <f>F26*'2018-19 budget'!G$13</f>
        <v>2322.1370135593224</v>
      </c>
      <c r="H26" s="3">
        <f t="shared" si="3"/>
        <v>-5.0253105993833744E-2</v>
      </c>
      <c r="I26" s="33">
        <f t="shared" si="1"/>
        <v>0.42777664291464895</v>
      </c>
      <c r="J26" s="13">
        <f t="shared" si="4"/>
        <v>21.399999999999977</v>
      </c>
      <c r="K26" s="13">
        <f t="shared" si="6"/>
        <v>-122.86915409890617</v>
      </c>
      <c r="L26" s="33">
        <f t="shared" si="5"/>
        <v>0.1533070606606157</v>
      </c>
      <c r="M26" s="14"/>
    </row>
    <row r="27" spans="1:26" x14ac:dyDescent="0.25">
      <c r="A27" s="9" t="s">
        <v>8</v>
      </c>
      <c r="B27" s="15">
        <v>386.2</v>
      </c>
      <c r="C27" s="74">
        <v>95.379000000000005</v>
      </c>
      <c r="D27" s="75">
        <v>20.100000000000001</v>
      </c>
      <c r="E27" s="73">
        <f t="shared" si="2"/>
        <v>20.019920318725102</v>
      </c>
      <c r="F27" s="13">
        <f t="shared" si="0"/>
        <v>1929.0786069651738</v>
      </c>
      <c r="G27" s="13">
        <f>F27*'2018-19 budget'!G$13</f>
        <v>2218.3359702985072</v>
      </c>
      <c r="H27" s="3">
        <f t="shared" si="3"/>
        <v>-4.4700654033204966E-2</v>
      </c>
      <c r="I27" s="33">
        <f t="shared" si="1"/>
        <v>0.40491093427274344</v>
      </c>
      <c r="J27" s="13">
        <f t="shared" si="4"/>
        <v>30.199999999999989</v>
      </c>
      <c r="K27" s="13">
        <f t="shared" si="6"/>
        <v>-103.80104326081528</v>
      </c>
      <c r="L27" s="33">
        <f t="shared" si="5"/>
        <v>0.17409445871629245</v>
      </c>
      <c r="M27" s="14"/>
    </row>
    <row r="28" spans="1:26" x14ac:dyDescent="0.25">
      <c r="A28" s="9" t="s">
        <v>9</v>
      </c>
      <c r="B28" s="15">
        <v>426.1</v>
      </c>
      <c r="C28" s="74">
        <v>103.63200000000001</v>
      </c>
      <c r="D28" s="75">
        <v>21.7</v>
      </c>
      <c r="E28" s="73">
        <f t="shared" si="2"/>
        <v>21.613545816733065</v>
      </c>
      <c r="F28" s="13">
        <f t="shared" si="0"/>
        <v>1971.4488479262677</v>
      </c>
      <c r="G28" s="13">
        <f>F28*'2018-19 budget'!G$13</f>
        <v>2267.0594537557613</v>
      </c>
      <c r="H28" s="3">
        <f t="shared" si="3"/>
        <v>2.1963978454849386E-2</v>
      </c>
      <c r="I28" s="33">
        <f t="shared" si="1"/>
        <v>0.41116643507796824</v>
      </c>
      <c r="J28" s="13">
        <f t="shared" si="4"/>
        <v>39.900000000000034</v>
      </c>
      <c r="K28" s="13">
        <f t="shared" si="6"/>
        <v>48.723483457254133</v>
      </c>
      <c r="L28" s="33">
        <f t="shared" si="5"/>
        <v>0.18795272408674349</v>
      </c>
      <c r="M28" s="14"/>
    </row>
    <row r="29" spans="1:26" x14ac:dyDescent="0.25">
      <c r="A29" s="9" t="s">
        <v>10</v>
      </c>
      <c r="B29" s="15">
        <v>468.4</v>
      </c>
      <c r="C29" s="74">
        <v>117.11199999999999</v>
      </c>
      <c r="D29" s="75">
        <v>23.6</v>
      </c>
      <c r="E29" s="73">
        <f t="shared" si="2"/>
        <v>23.50597609561753</v>
      </c>
      <c r="F29" s="13">
        <f t="shared" si="0"/>
        <v>1992.6847457627118</v>
      </c>
      <c r="G29" s="13">
        <f>F29*'2018-19 budget'!G$13</f>
        <v>2291.4795866949153</v>
      </c>
      <c r="H29" s="3">
        <f t="shared" si="3"/>
        <v>1.0771721446783556E-2</v>
      </c>
      <c r="I29" s="33">
        <f t="shared" si="1"/>
        <v>0.39995901359382469</v>
      </c>
      <c r="J29" s="13">
        <f t="shared" si="4"/>
        <v>42.299999999999955</v>
      </c>
      <c r="K29" s="13">
        <f t="shared" si="6"/>
        <v>24.420132939153973</v>
      </c>
      <c r="L29" s="33">
        <f t="shared" si="5"/>
        <v>0.20440941421415429</v>
      </c>
      <c r="M29" s="14"/>
    </row>
    <row r="30" spans="1:26" x14ac:dyDescent="0.25">
      <c r="A30" s="9" t="s">
        <v>11</v>
      </c>
      <c r="B30" s="15">
        <v>508.7</v>
      </c>
      <c r="C30" s="74">
        <v>132.983</v>
      </c>
      <c r="D30" s="75">
        <v>26.2</v>
      </c>
      <c r="E30" s="73">
        <f t="shared" si="2"/>
        <v>26.095617529880478</v>
      </c>
      <c r="F30" s="13">
        <f t="shared" si="0"/>
        <v>1949.3694656488551</v>
      </c>
      <c r="G30" s="13">
        <f>F30*'2018-19 budget'!G$13</f>
        <v>2241.6693593702294</v>
      </c>
      <c r="H30" s="3">
        <f t="shared" si="3"/>
        <v>-2.1737146433204384E-2</v>
      </c>
      <c r="I30" s="33">
        <f t="shared" si="1"/>
        <v>0.38253009783205372</v>
      </c>
      <c r="J30" s="13">
        <f t="shared" si="4"/>
        <v>40.300000000000011</v>
      </c>
      <c r="K30" s="13">
        <f t="shared" si="6"/>
        <v>-49.810227324685911</v>
      </c>
      <c r="L30" s="33">
        <f t="shared" si="5"/>
        <v>0.22692909544113735</v>
      </c>
      <c r="M30" s="14"/>
    </row>
    <row r="31" spans="1:26" x14ac:dyDescent="0.25">
      <c r="A31" s="9" t="s">
        <v>12</v>
      </c>
      <c r="B31" s="15">
        <v>568</v>
      </c>
      <c r="C31" s="74">
        <v>151.60300000000001</v>
      </c>
      <c r="D31" s="75">
        <v>28.4</v>
      </c>
      <c r="E31" s="73">
        <f t="shared" si="2"/>
        <v>28.28685258964143</v>
      </c>
      <c r="F31" s="13">
        <f t="shared" si="0"/>
        <v>2008.0000000000002</v>
      </c>
      <c r="G31" s="13">
        <f>F31*'2018-19 budget'!G$13</f>
        <v>2309.0913000000005</v>
      </c>
      <c r="H31" s="3">
        <f t="shared" si="3"/>
        <v>3.0076666011401649E-2</v>
      </c>
      <c r="I31" s="33">
        <f t="shared" si="1"/>
        <v>0.37466277052564922</v>
      </c>
      <c r="J31" s="13">
        <f t="shared" si="4"/>
        <v>59.300000000000011</v>
      </c>
      <c r="K31" s="13">
        <f t="shared" si="6"/>
        <v>67.421940629771143</v>
      </c>
      <c r="L31" s="33">
        <f t="shared" si="5"/>
        <v>0.24598421032550766</v>
      </c>
      <c r="M31" s="14"/>
    </row>
    <row r="32" spans="1:26" x14ac:dyDescent="0.25">
      <c r="A32" s="9" t="s">
        <v>13</v>
      </c>
      <c r="B32" s="15">
        <v>658</v>
      </c>
      <c r="C32" s="74">
        <v>172.238</v>
      </c>
      <c r="D32" s="75">
        <v>31.5</v>
      </c>
      <c r="E32" s="73">
        <f t="shared" si="2"/>
        <v>31.374501992031874</v>
      </c>
      <c r="F32" s="13">
        <f t="shared" si="0"/>
        <v>2097.2444444444445</v>
      </c>
      <c r="G32" s="13">
        <f>F32*'2018-19 budget'!G$13</f>
        <v>2411.7175800000005</v>
      </c>
      <c r="H32" s="3">
        <f t="shared" si="3"/>
        <v>4.444444444444437E-2</v>
      </c>
      <c r="I32" s="33">
        <f t="shared" si="1"/>
        <v>0.38202951729583484</v>
      </c>
      <c r="J32" s="13">
        <f t="shared" si="4"/>
        <v>90</v>
      </c>
      <c r="K32" s="13">
        <f t="shared" si="6"/>
        <v>102.62627999999995</v>
      </c>
      <c r="L32" s="33">
        <f t="shared" si="5"/>
        <v>0.27283459948075672</v>
      </c>
      <c r="M32" s="14"/>
    </row>
    <row r="33" spans="1:13" x14ac:dyDescent="0.25">
      <c r="A33" s="9" t="s">
        <v>14</v>
      </c>
      <c r="B33" s="15">
        <v>744.6</v>
      </c>
      <c r="C33" s="74">
        <v>187.68199999999999</v>
      </c>
      <c r="D33" s="75">
        <v>34.299999999999997</v>
      </c>
      <c r="E33" s="73">
        <f t="shared" si="2"/>
        <v>34.163346613545812</v>
      </c>
      <c r="F33" s="13">
        <f t="shared" si="0"/>
        <v>2179.5288629737611</v>
      </c>
      <c r="G33" s="13">
        <f>F33*'2018-19 budget'!G$13</f>
        <v>2506.3402069679305</v>
      </c>
      <c r="H33" s="3">
        <f t="shared" si="3"/>
        <v>3.9234538800322592E-2</v>
      </c>
      <c r="I33" s="33">
        <f t="shared" si="1"/>
        <v>0.39673490265449002</v>
      </c>
      <c r="J33" s="13">
        <f t="shared" si="4"/>
        <v>86.600000000000023</v>
      </c>
      <c r="K33" s="13">
        <f t="shared" si="6"/>
        <v>94.622626967930046</v>
      </c>
      <c r="L33" s="33">
        <f t="shared" si="5"/>
        <v>0.29708656387904625</v>
      </c>
      <c r="M33" s="14"/>
    </row>
    <row r="34" spans="1:13" x14ac:dyDescent="0.25">
      <c r="A34" s="9" t="s">
        <v>15</v>
      </c>
      <c r="B34" s="15">
        <v>931.8</v>
      </c>
      <c r="C34" s="74">
        <v>210.77799999999999</v>
      </c>
      <c r="D34" s="75">
        <v>36.4</v>
      </c>
      <c r="E34" s="73">
        <f t="shared" si="2"/>
        <v>36.254980079681268</v>
      </c>
      <c r="F34" s="13">
        <f t="shared" si="0"/>
        <v>2570.1296703296707</v>
      </c>
      <c r="G34" s="13">
        <f>F34*'2018-19 budget'!G$13</f>
        <v>2955.509990851649</v>
      </c>
      <c r="H34" s="3">
        <f t="shared" si="3"/>
        <v>0.17921341350027903</v>
      </c>
      <c r="I34" s="33">
        <f t="shared" si="1"/>
        <v>0.44207649754718231</v>
      </c>
      <c r="J34" s="13">
        <f t="shared" si="4"/>
        <v>187.19999999999993</v>
      </c>
      <c r="K34" s="13">
        <f t="shared" si="6"/>
        <v>449.16978388371854</v>
      </c>
      <c r="L34" s="33">
        <f t="shared" si="5"/>
        <v>0.3152755371777633</v>
      </c>
      <c r="M34" s="14"/>
    </row>
    <row r="35" spans="1:13" x14ac:dyDescent="0.25">
      <c r="A35" t="s">
        <v>16</v>
      </c>
      <c r="B35" s="15">
        <f>'green book comparison'!D18/1000</f>
        <v>1011.403</v>
      </c>
      <c r="C35" s="1">
        <v>231.66200000000001</v>
      </c>
      <c r="D35" s="73">
        <v>38.799999999999997</v>
      </c>
      <c r="E35" s="73">
        <f t="shared" si="2"/>
        <v>38.645418326693218</v>
      </c>
      <c r="F35" s="13">
        <f t="shared" si="0"/>
        <v>2617.1355979381451</v>
      </c>
      <c r="G35" s="13">
        <f>F35*'2018-19 budget'!G$13</f>
        <v>3009.5642630076045</v>
      </c>
      <c r="H35" s="3">
        <f t="shared" si="3"/>
        <v>1.8289321410948477E-2</v>
      </c>
      <c r="I35" s="8">
        <f t="shared" si="1"/>
        <v>0.43658562906303144</v>
      </c>
      <c r="J35" s="13">
        <f t="shared" si="4"/>
        <v>79.603000000000065</v>
      </c>
      <c r="K35" s="13">
        <f t="shared" si="6"/>
        <v>54.054272155955459</v>
      </c>
      <c r="L35" s="33">
        <f t="shared" si="5"/>
        <v>0.33606293523343994</v>
      </c>
      <c r="M35" s="14"/>
    </row>
    <row r="36" spans="1:13" x14ac:dyDescent="0.25">
      <c r="A36" t="s">
        <v>17</v>
      </c>
      <c r="B36" s="15">
        <f>'green book comparison'!D19/1000</f>
        <v>1030.9639999999999</v>
      </c>
      <c r="C36" s="1">
        <v>255.59399999999999</v>
      </c>
      <c r="D36" s="73">
        <v>42.1</v>
      </c>
      <c r="E36" s="73">
        <f t="shared" si="2"/>
        <v>41.932270916334666</v>
      </c>
      <c r="F36" s="13">
        <f t="shared" si="0"/>
        <v>2458.6409881235154</v>
      </c>
      <c r="G36" s="13">
        <f>F36*'2018-19 budget'!G$13</f>
        <v>2827.304041583373</v>
      </c>
      <c r="H36" s="3">
        <f t="shared" si="3"/>
        <v>-6.0560335482615552E-2</v>
      </c>
      <c r="I36" s="8">
        <f t="shared" si="1"/>
        <v>0.40336001627581236</v>
      </c>
      <c r="J36" s="13">
        <f t="shared" si="4"/>
        <v>19.560999999999922</v>
      </c>
      <c r="K36" s="13">
        <f t="shared" si="6"/>
        <v>-182.26022142423153</v>
      </c>
      <c r="L36" s="33">
        <f t="shared" si="5"/>
        <v>0.36464560755999553</v>
      </c>
      <c r="M36" s="14"/>
    </row>
    <row r="37" spans="1:13" x14ac:dyDescent="0.25">
      <c r="A37" t="s">
        <v>18</v>
      </c>
      <c r="B37" s="15">
        <f>'green book comparison'!D20/1000</f>
        <v>975.61599999999999</v>
      </c>
      <c r="C37" s="1">
        <v>280.48</v>
      </c>
      <c r="D37" s="73">
        <v>46</v>
      </c>
      <c r="E37" s="73">
        <f t="shared" si="2"/>
        <v>45.816733067729082</v>
      </c>
      <c r="F37" s="13">
        <f t="shared" si="0"/>
        <v>2129.3879652173914</v>
      </c>
      <c r="G37" s="13">
        <f>F37*'2018-19 budget'!G$13</f>
        <v>2448.6808888486962</v>
      </c>
      <c r="H37" s="3">
        <f t="shared" si="3"/>
        <v>-0.13391667368134808</v>
      </c>
      <c r="I37" s="8">
        <f t="shared" si="1"/>
        <v>0.34783799201369081</v>
      </c>
      <c r="J37" s="13">
        <f t="shared" si="4"/>
        <v>-55.347999999999956</v>
      </c>
      <c r="K37" s="13">
        <f t="shared" si="6"/>
        <v>-378.62315273467675</v>
      </c>
      <c r="L37" s="33">
        <f t="shared" si="5"/>
        <v>0.39842512940047015</v>
      </c>
      <c r="M37" s="14"/>
    </row>
    <row r="38" spans="1:13" x14ac:dyDescent="0.25">
      <c r="A38" t="s">
        <v>19</v>
      </c>
      <c r="B38" s="15">
        <f>'green book comparison'!D21/1000</f>
        <v>1019.561</v>
      </c>
      <c r="C38" s="1">
        <v>317.803</v>
      </c>
      <c r="D38" s="73">
        <v>49.3</v>
      </c>
      <c r="E38" s="73">
        <f t="shared" si="2"/>
        <v>49.103585657370516</v>
      </c>
      <c r="F38" s="13">
        <f t="shared" si="0"/>
        <v>2076.3473509127793</v>
      </c>
      <c r="G38" s="13">
        <f>F38*'2018-19 budget'!G$13</f>
        <v>2387.6870536706906</v>
      </c>
      <c r="H38" s="3">
        <f t="shared" si="3"/>
        <v>-2.4908854173596822E-2</v>
      </c>
      <c r="I38" s="8">
        <f t="shared" si="1"/>
        <v>0.32081541080480674</v>
      </c>
      <c r="J38" s="13">
        <f t="shared" si="4"/>
        <v>43.94500000000005</v>
      </c>
      <c r="K38" s="13">
        <f t="shared" si="6"/>
        <v>-60.993835178005611</v>
      </c>
      <c r="L38" s="33">
        <f t="shared" si="5"/>
        <v>0.42700780172702552</v>
      </c>
      <c r="M38" s="14"/>
    </row>
    <row r="39" spans="1:13" x14ac:dyDescent="0.25">
      <c r="A39" t="s">
        <v>20</v>
      </c>
      <c r="B39" s="15">
        <f>'green book comparison'!D22/1000</f>
        <v>1194.6289999999999</v>
      </c>
      <c r="C39" s="1">
        <v>357.38600000000002</v>
      </c>
      <c r="D39" s="73">
        <v>53</v>
      </c>
      <c r="E39" s="73">
        <f t="shared" si="2"/>
        <v>52.788844621513945</v>
      </c>
      <c r="F39" s="13">
        <f t="shared" si="0"/>
        <v>2263.0330490566034</v>
      </c>
      <c r="G39" s="13">
        <f>F39*'2018-19 budget'!G$13</f>
        <v>2602.3655005921696</v>
      </c>
      <c r="H39" s="3">
        <f t="shared" si="3"/>
        <v>8.9910629867278963E-2</v>
      </c>
      <c r="I39" s="8">
        <f t="shared" si="1"/>
        <v>0.33426854997117961</v>
      </c>
      <c r="J39" s="13">
        <f t="shared" si="4"/>
        <v>175.06799999999987</v>
      </c>
      <c r="K39" s="13">
        <f t="shared" si="6"/>
        <v>214.67844692147901</v>
      </c>
      <c r="L39" s="33">
        <f t="shared" si="5"/>
        <v>0.45905504039619394</v>
      </c>
      <c r="M39" s="14"/>
    </row>
    <row r="40" spans="1:13" x14ac:dyDescent="0.25">
      <c r="A40" t="s">
        <v>21</v>
      </c>
      <c r="B40" s="15">
        <f>'green book comparison'!D23/1000</f>
        <v>1173.8019999999999</v>
      </c>
      <c r="C40" s="1">
        <v>389.58600000000001</v>
      </c>
      <c r="D40" s="73">
        <v>57.1</v>
      </c>
      <c r="E40" s="73">
        <f t="shared" si="2"/>
        <v>56.872509960159356</v>
      </c>
      <c r="F40" s="13">
        <f t="shared" si="0"/>
        <v>2063.9180525394045</v>
      </c>
      <c r="G40" s="13">
        <f>F40*'2018-19 budget'!G$13</f>
        <v>2373.394033382312</v>
      </c>
      <c r="H40" s="3">
        <f t="shared" si="3"/>
        <v>-8.7985898659413989E-2</v>
      </c>
      <c r="I40" s="8">
        <f t="shared" si="1"/>
        <v>0.30129470771536965</v>
      </c>
      <c r="J40" s="13">
        <f t="shared" si="4"/>
        <v>-20.826999999999998</v>
      </c>
      <c r="K40" s="13">
        <f t="shared" si="6"/>
        <v>-228.97146720985756</v>
      </c>
      <c r="L40" s="33">
        <f t="shared" si="5"/>
        <v>0.49456684540797491</v>
      </c>
      <c r="M40" s="14"/>
    </row>
    <row r="41" spans="1:13" x14ac:dyDescent="0.25">
      <c r="A41" t="s">
        <v>22</v>
      </c>
      <c r="B41" s="15">
        <f>'green book comparison'!D24/1000</f>
        <v>1261.04</v>
      </c>
      <c r="C41" s="1">
        <v>397.61599999999999</v>
      </c>
      <c r="D41" s="73">
        <v>59</v>
      </c>
      <c r="E41" s="73">
        <f t="shared" si="2"/>
        <v>58.764940239043817</v>
      </c>
      <c r="F41" s="13">
        <f t="shared" si="0"/>
        <v>2145.9053559322037</v>
      </c>
      <c r="G41" s="13">
        <f>F41*'2018-19 budget'!G$13</f>
        <v>2467.6749940271193</v>
      </c>
      <c r="H41" s="3">
        <f t="shared" si="3"/>
        <v>3.9724107888839726E-2</v>
      </c>
      <c r="I41" s="8">
        <f t="shared" si="1"/>
        <v>0.31715021528308718</v>
      </c>
      <c r="J41" s="13">
        <f t="shared" si="4"/>
        <v>87.238000000000056</v>
      </c>
      <c r="K41" s="13">
        <f t="shared" si="6"/>
        <v>94.280960644807237</v>
      </c>
      <c r="L41" s="33">
        <f t="shared" si="5"/>
        <v>0.5110235355353856</v>
      </c>
      <c r="M41" s="14"/>
    </row>
    <row r="42" spans="1:13" x14ac:dyDescent="0.25">
      <c r="A42" t="s">
        <v>23</v>
      </c>
      <c r="B42" s="15">
        <f>'green book comparison'!D25/1000</f>
        <v>1330.2629999999999</v>
      </c>
      <c r="C42" s="1">
        <v>405.89699999999999</v>
      </c>
      <c r="D42" s="73">
        <v>59.7</v>
      </c>
      <c r="E42" s="73">
        <f t="shared" si="2"/>
        <v>59.462151394422314</v>
      </c>
      <c r="F42" s="13">
        <f t="shared" si="0"/>
        <v>2237.1592160804016</v>
      </c>
      <c r="G42" s="13">
        <f>F42*'2018-19 budget'!G$13</f>
        <v>2572.6119933097989</v>
      </c>
      <c r="H42" s="3">
        <f t="shared" si="3"/>
        <v>4.2524643454536812E-2</v>
      </c>
      <c r="I42" s="8">
        <f t="shared" si="1"/>
        <v>0.32773412959445375</v>
      </c>
      <c r="J42" s="13">
        <f t="shared" si="4"/>
        <v>69.222999999999956</v>
      </c>
      <c r="K42" s="13">
        <f t="shared" si="6"/>
        <v>104.93699928267961</v>
      </c>
      <c r="L42" s="33">
        <f t="shared" si="5"/>
        <v>0.51708652663495813</v>
      </c>
      <c r="M42" s="14"/>
    </row>
    <row r="43" spans="1:13" x14ac:dyDescent="0.25">
      <c r="A43" t="s">
        <v>24</v>
      </c>
      <c r="B43" s="15">
        <f>'green book comparison'!D26/1000</f>
        <v>1386.145</v>
      </c>
      <c r="C43" s="1">
        <v>431.29</v>
      </c>
      <c r="D43" s="73">
        <v>60.8</v>
      </c>
      <c r="E43" s="73">
        <f t="shared" si="2"/>
        <v>60.557768924302778</v>
      </c>
      <c r="F43" s="13">
        <f t="shared" si="0"/>
        <v>2288.9631250000002</v>
      </c>
      <c r="G43" s="13">
        <f>F43*'2018-19 budget'!G$13</f>
        <v>2632.1836842421881</v>
      </c>
      <c r="H43" s="3">
        <f t="shared" si="3"/>
        <v>2.3156111798945295E-2</v>
      </c>
      <c r="I43" s="8">
        <f t="shared" si="1"/>
        <v>0.32139511697465739</v>
      </c>
      <c r="J43" s="13">
        <f t="shared" si="4"/>
        <v>55.882000000000062</v>
      </c>
      <c r="K43" s="13">
        <f t="shared" si="6"/>
        <v>59.571690932389174</v>
      </c>
      <c r="L43" s="33">
        <f t="shared" si="5"/>
        <v>0.52661408407714316</v>
      </c>
      <c r="M43" s="14"/>
    </row>
    <row r="44" spans="1:13" x14ac:dyDescent="0.25">
      <c r="A44" t="s">
        <v>25</v>
      </c>
      <c r="B44" s="15">
        <f>'green book comparison'!D27/1000</f>
        <v>1410.8150000000001</v>
      </c>
      <c r="C44" s="1">
        <v>455.21</v>
      </c>
      <c r="D44" s="73">
        <v>61.9</v>
      </c>
      <c r="E44" s="73">
        <f t="shared" si="2"/>
        <v>61.653386454183256</v>
      </c>
      <c r="F44" s="13">
        <f t="shared" ref="F44:F67" si="7">B44/E44*100</f>
        <v>2288.3009046849766</v>
      </c>
      <c r="G44" s="13">
        <f>F44*'2018-19 budget'!G$13</f>
        <v>2631.4221667281918</v>
      </c>
      <c r="H44" s="3">
        <f t="shared" si="3"/>
        <v>-2.8931017183759134E-4</v>
      </c>
      <c r="I44" s="8">
        <f t="shared" ref="I44:I67" si="8">B44/(C44*1000)*100</f>
        <v>0.30992618791327081</v>
      </c>
      <c r="J44" s="13">
        <f t="shared" si="4"/>
        <v>24.670000000000073</v>
      </c>
      <c r="K44" s="13">
        <f t="shared" si="6"/>
        <v>-0.76151751399629575</v>
      </c>
      <c r="L44" s="33">
        <f t="shared" si="5"/>
        <v>0.53614164151932819</v>
      </c>
      <c r="M44" s="14"/>
    </row>
    <row r="45" spans="1:13" x14ac:dyDescent="0.25">
      <c r="A45" t="s">
        <v>26</v>
      </c>
      <c r="B45" s="15">
        <f>'green book comparison'!D28/1000</f>
        <v>1484.98</v>
      </c>
      <c r="C45" s="1">
        <v>477.49099999999999</v>
      </c>
      <c r="D45" s="73">
        <v>64.7</v>
      </c>
      <c r="E45" s="73">
        <f t="shared" si="2"/>
        <v>64.442231075697208</v>
      </c>
      <c r="F45" s="13">
        <f t="shared" si="7"/>
        <v>2304.3584544049459</v>
      </c>
      <c r="G45" s="13">
        <f>F45*'2018-19 budget'!G$13</f>
        <v>2649.8874796553323</v>
      </c>
      <c r="H45" s="3">
        <f t="shared" ref="H45:H67" si="9">(F45-F44)/F44</f>
        <v>7.0172369757376361E-3</v>
      </c>
      <c r="I45" s="8">
        <f t="shared" si="8"/>
        <v>0.31099643762919094</v>
      </c>
      <c r="J45" s="13">
        <f t="shared" ref="J45:J72" si="10">B45-B44</f>
        <v>74.164999999999964</v>
      </c>
      <c r="K45" s="13">
        <f t="shared" si="6"/>
        <v>18.465312927140531</v>
      </c>
      <c r="L45" s="33">
        <f t="shared" si="5"/>
        <v>0.56039360591761789</v>
      </c>
      <c r="M45" s="14"/>
    </row>
    <row r="46" spans="1:13" x14ac:dyDescent="0.25">
      <c r="A46" t="s">
        <v>27</v>
      </c>
      <c r="B46" s="15">
        <f>'green book comparison'!D29/1000</f>
        <v>1567.17</v>
      </c>
      <c r="C46" s="1">
        <v>508.90499999999997</v>
      </c>
      <c r="D46" s="73">
        <v>66.7</v>
      </c>
      <c r="E46" s="73">
        <f t="shared" si="2"/>
        <v>66.434262948207163</v>
      </c>
      <c r="F46" s="13">
        <f t="shared" si="7"/>
        <v>2358.9785307346333</v>
      </c>
      <c r="G46" s="13">
        <f>F46*'2018-19 budget'!G$13</f>
        <v>2712.6976106604207</v>
      </c>
      <c r="H46" s="3">
        <f t="shared" si="9"/>
        <v>2.3702942667308231E-2</v>
      </c>
      <c r="I46" s="8">
        <f t="shared" si="8"/>
        <v>0.30794942081527987</v>
      </c>
      <c r="J46" s="13">
        <f t="shared" si="10"/>
        <v>82.190000000000055</v>
      </c>
      <c r="K46" s="13">
        <f t="shared" si="6"/>
        <v>62.810131005088351</v>
      </c>
      <c r="L46" s="33">
        <f t="shared" si="5"/>
        <v>0.5777164376306817</v>
      </c>
      <c r="M46" s="14"/>
    </row>
    <row r="47" spans="1:13" x14ac:dyDescent="0.25">
      <c r="A47" t="s">
        <v>28</v>
      </c>
      <c r="B47" s="15">
        <f>'green book comparison'!D30/1000</f>
        <v>1432.3510000000001</v>
      </c>
      <c r="C47" s="1">
        <v>536.60400000000004</v>
      </c>
      <c r="D47" s="73">
        <v>66.900000000000006</v>
      </c>
      <c r="E47" s="73">
        <f t="shared" si="2"/>
        <v>66.633466135458178</v>
      </c>
      <c r="F47" s="13">
        <f t="shared" si="7"/>
        <v>2149.5970164424511</v>
      </c>
      <c r="G47" s="13">
        <f>F47*'2018-19 budget'!G$13</f>
        <v>2471.9202037715245</v>
      </c>
      <c r="H47" s="3">
        <f t="shared" si="9"/>
        <v>-8.8759398003921866E-2</v>
      </c>
      <c r="I47" s="8">
        <f t="shared" si="8"/>
        <v>0.26692887119738207</v>
      </c>
      <c r="J47" s="13">
        <f t="shared" si="10"/>
        <v>-134.81899999999996</v>
      </c>
      <c r="K47" s="13">
        <f t="shared" si="6"/>
        <v>-240.77740688889617</v>
      </c>
      <c r="L47" s="33">
        <f t="shared" si="5"/>
        <v>0.57944872080198828</v>
      </c>
      <c r="M47" s="14"/>
    </row>
    <row r="48" spans="1:13" x14ac:dyDescent="0.25">
      <c r="A48" t="s">
        <v>29</v>
      </c>
      <c r="B48" s="15">
        <f>'green book comparison'!D31/1000</f>
        <v>1443.3</v>
      </c>
      <c r="C48" s="1">
        <v>569.53300000000002</v>
      </c>
      <c r="D48" s="73">
        <v>67.400000000000006</v>
      </c>
      <c r="E48" s="73">
        <f t="shared" si="2"/>
        <v>67.13147410358566</v>
      </c>
      <c r="F48" s="13">
        <f t="shared" si="7"/>
        <v>2149.9602373887237</v>
      </c>
      <c r="G48" s="13">
        <f>F48*'2018-19 budget'!G$13</f>
        <v>2472.3378881973294</v>
      </c>
      <c r="H48" s="3">
        <f t="shared" si="9"/>
        <v>1.6897164607797128E-4</v>
      </c>
      <c r="I48" s="8">
        <f t="shared" si="8"/>
        <v>0.25341815136260759</v>
      </c>
      <c r="J48" s="13">
        <f t="shared" si="10"/>
        <v>10.948999999999842</v>
      </c>
      <c r="K48" s="13">
        <f t="shared" si="6"/>
        <v>0.41768442580496412</v>
      </c>
      <c r="L48" s="33">
        <f t="shared" si="5"/>
        <v>0.58377942873025412</v>
      </c>
      <c r="M48" s="14"/>
    </row>
    <row r="49" spans="1:16" x14ac:dyDescent="0.25">
      <c r="A49" t="s">
        <v>30</v>
      </c>
      <c r="B49" s="15">
        <f>'green book comparison'!D32/1000</f>
        <v>1531.3</v>
      </c>
      <c r="C49" s="1">
        <v>600.41</v>
      </c>
      <c r="D49" s="73">
        <v>68.099999999999994</v>
      </c>
      <c r="E49" s="73">
        <f t="shared" si="2"/>
        <v>67.828685258964143</v>
      </c>
      <c r="F49" s="13">
        <f t="shared" si="7"/>
        <v>2257.5994126284877</v>
      </c>
      <c r="G49" s="13">
        <f>F49*'2018-19 budget'!G$13</f>
        <v>2596.1171128414103</v>
      </c>
      <c r="H49" s="3">
        <f t="shared" si="9"/>
        <v>5.0065658595853491E-2</v>
      </c>
      <c r="I49" s="8">
        <f t="shared" si="8"/>
        <v>0.25504238770173715</v>
      </c>
      <c r="J49" s="13">
        <f t="shared" si="10"/>
        <v>88</v>
      </c>
      <c r="K49" s="13">
        <f t="shared" si="6"/>
        <v>123.77922464408084</v>
      </c>
      <c r="L49" s="33">
        <f t="shared" si="5"/>
        <v>0.58984241982982644</v>
      </c>
      <c r="M49" s="14"/>
    </row>
    <row r="50" spans="1:16" x14ac:dyDescent="0.25">
      <c r="A50" t="s">
        <v>70</v>
      </c>
      <c r="B50" s="15">
        <f>'green book comparison'!D33/1000</f>
        <v>1752.3430000000001</v>
      </c>
      <c r="C50" s="1">
        <v>641.76700000000005</v>
      </c>
      <c r="D50" s="73">
        <v>70.2</v>
      </c>
      <c r="E50" s="73">
        <f t="shared" si="2"/>
        <v>69.920318725099591</v>
      </c>
      <c r="F50" s="13">
        <f t="shared" si="7"/>
        <v>2506.199960113961</v>
      </c>
      <c r="G50" s="13">
        <f>F50*'2018-19 budget'!G$13</f>
        <v>2881.9942848403857</v>
      </c>
      <c r="H50" s="3">
        <f t="shared" si="9"/>
        <v>0.11011720949910753</v>
      </c>
      <c r="I50" s="8">
        <f t="shared" si="8"/>
        <v>0.27304972053720433</v>
      </c>
      <c r="J50" s="13">
        <f t="shared" si="10"/>
        <v>221.04300000000012</v>
      </c>
      <c r="K50" s="13">
        <f t="shared" si="6"/>
        <v>285.87717199897543</v>
      </c>
      <c r="L50" s="33">
        <f t="shared" si="5"/>
        <v>0.60803139312854348</v>
      </c>
      <c r="M50" s="14"/>
    </row>
    <row r="51" spans="1:16" x14ac:dyDescent="0.25">
      <c r="A51" t="s">
        <v>32</v>
      </c>
      <c r="B51" s="15">
        <f>'green book comparison'!D34/1000</f>
        <v>1638.895</v>
      </c>
      <c r="C51" s="1">
        <v>684.976</v>
      </c>
      <c r="D51" s="73">
        <v>74.5</v>
      </c>
      <c r="E51" s="73">
        <f t="shared" si="2"/>
        <v>74.203187250996024</v>
      </c>
      <c r="F51" s="13">
        <f t="shared" si="7"/>
        <v>2208.6584966442947</v>
      </c>
      <c r="G51" s="13">
        <f>F51*'2018-19 budget'!G$13</f>
        <v>2539.8377088010061</v>
      </c>
      <c r="H51" s="3">
        <f t="shared" si="9"/>
        <v>-0.11872215633430007</v>
      </c>
      <c r="I51" s="8">
        <f t="shared" si="8"/>
        <v>0.23926312746723974</v>
      </c>
      <c r="J51" s="13">
        <f t="shared" si="10"/>
        <v>-113.44800000000009</v>
      </c>
      <c r="K51" s="13">
        <f t="shared" si="6"/>
        <v>-342.15657603937962</v>
      </c>
      <c r="L51" s="33">
        <f t="shared" si="5"/>
        <v>0.64527548131163126</v>
      </c>
      <c r="M51" s="14"/>
    </row>
    <row r="52" spans="1:16" x14ac:dyDescent="0.25">
      <c r="A52" t="s">
        <v>33</v>
      </c>
      <c r="B52" s="15">
        <f>'green book comparison'!D35/1000</f>
        <v>1765.8150000000001</v>
      </c>
      <c r="C52" s="1">
        <v>733.44</v>
      </c>
      <c r="D52" s="73">
        <v>76.599999999999994</v>
      </c>
      <c r="E52" s="73">
        <f t="shared" si="2"/>
        <v>76.294820717131458</v>
      </c>
      <c r="F52" s="13">
        <f t="shared" si="7"/>
        <v>2314.4624804177552</v>
      </c>
      <c r="G52" s="13">
        <f>F52*'2018-19 budget'!G$13</f>
        <v>2661.5065626041132</v>
      </c>
      <c r="H52" s="3">
        <f t="shared" si="9"/>
        <v>4.7904184342764076E-2</v>
      </c>
      <c r="I52" s="8">
        <f t="shared" si="8"/>
        <v>0.2407579352094241</v>
      </c>
      <c r="J52" s="13">
        <f t="shared" si="10"/>
        <v>126.92000000000007</v>
      </c>
      <c r="K52" s="13">
        <f t="shared" si="6"/>
        <v>121.66885380310714</v>
      </c>
      <c r="L52" s="33">
        <f t="shared" si="5"/>
        <v>0.66346445461034798</v>
      </c>
      <c r="M52" s="14"/>
    </row>
    <row r="53" spans="1:16" x14ac:dyDescent="0.25">
      <c r="A53" t="s">
        <v>34</v>
      </c>
      <c r="B53" s="15">
        <f>'green book comparison'!D36/1000</f>
        <v>1840.6969999999999</v>
      </c>
      <c r="C53" s="1">
        <v>778.05</v>
      </c>
      <c r="D53" s="73">
        <v>78.599999999999994</v>
      </c>
      <c r="E53" s="73">
        <f t="shared" si="2"/>
        <v>78.286852589641427</v>
      </c>
      <c r="F53" s="13">
        <f t="shared" si="7"/>
        <v>2351.2211043256998</v>
      </c>
      <c r="G53" s="13">
        <f>F53*'2018-19 budget'!G$13</f>
        <v>2703.7769902265272</v>
      </c>
      <c r="H53" s="3">
        <f t="shared" si="9"/>
        <v>1.5882142924740689E-2</v>
      </c>
      <c r="I53" s="8">
        <f t="shared" si="8"/>
        <v>0.23657824047297729</v>
      </c>
      <c r="J53" s="13">
        <f t="shared" si="10"/>
        <v>74.881999999999834</v>
      </c>
      <c r="K53" s="13">
        <f t="shared" si="6"/>
        <v>42.27042762241399</v>
      </c>
      <c r="L53" s="33">
        <f t="shared" si="5"/>
        <v>0.68078728632341201</v>
      </c>
      <c r="M53" s="14"/>
    </row>
    <row r="54" spans="1:16" x14ac:dyDescent="0.25">
      <c r="A54" t="s">
        <v>35</v>
      </c>
      <c r="B54" s="15">
        <f>'green book comparison'!D37/1000</f>
        <v>1986.4469999999999</v>
      </c>
      <c r="C54" s="1">
        <v>835.63800000000003</v>
      </c>
      <c r="D54" s="73">
        <v>80.599999999999994</v>
      </c>
      <c r="E54" s="73">
        <f t="shared" si="2"/>
        <v>80.278884462151396</v>
      </c>
      <c r="F54" s="13">
        <f t="shared" si="7"/>
        <v>2474.4327394540942</v>
      </c>
      <c r="G54" s="13">
        <f>F54*'2018-19 budget'!G$13</f>
        <v>2845.4637007513029</v>
      </c>
      <c r="H54" s="3">
        <f t="shared" si="9"/>
        <v>5.2403253314506938E-2</v>
      </c>
      <c r="I54" s="8">
        <f t="shared" si="8"/>
        <v>0.2377162120439712</v>
      </c>
      <c r="J54" s="13">
        <f t="shared" si="10"/>
        <v>145.75</v>
      </c>
      <c r="K54" s="13">
        <f t="shared" si="6"/>
        <v>141.68671052477566</v>
      </c>
      <c r="L54" s="33">
        <f t="shared" si="5"/>
        <v>0.69811011803647605</v>
      </c>
      <c r="M54" s="14"/>
    </row>
    <row r="55" spans="1:16" x14ac:dyDescent="0.25">
      <c r="A55" t="s">
        <v>36</v>
      </c>
      <c r="B55" s="15">
        <f>'green book comparison'!D38/1000</f>
        <v>2211.078</v>
      </c>
      <c r="C55" s="1">
        <v>887.08399999999995</v>
      </c>
      <c r="D55" s="73">
        <v>82.6</v>
      </c>
      <c r="E55" s="73">
        <f t="shared" si="2"/>
        <v>82.270916334661351</v>
      </c>
      <c r="F55" s="13">
        <f t="shared" si="7"/>
        <v>2687.5572784503634</v>
      </c>
      <c r="G55" s="13">
        <f>F55*'2018-19 budget'!G$13</f>
        <v>3090.5453834269979</v>
      </c>
      <c r="H55" s="3">
        <f t="shared" si="9"/>
        <v>8.6130665666543191E-2</v>
      </c>
      <c r="I55" s="8">
        <f t="shared" si="8"/>
        <v>0.24925238196157298</v>
      </c>
      <c r="J55" s="13">
        <f t="shared" si="10"/>
        <v>224.63100000000009</v>
      </c>
      <c r="K55" s="13">
        <f t="shared" si="6"/>
        <v>245.08168267569499</v>
      </c>
      <c r="L55" s="33">
        <f t="shared" si="5"/>
        <v>0.71543294974953997</v>
      </c>
      <c r="M55" s="14"/>
    </row>
    <row r="56" spans="1:16" x14ac:dyDescent="0.25">
      <c r="A56" t="s">
        <v>41</v>
      </c>
      <c r="B56" s="15">
        <f>'green book comparison'!D39/1000</f>
        <v>2619.0356794696004</v>
      </c>
      <c r="C56" s="1">
        <v>956.90700000000004</v>
      </c>
      <c r="D56" s="73">
        <v>85.9</v>
      </c>
      <c r="E56" s="73">
        <f t="shared" si="2"/>
        <v>85.557768924302792</v>
      </c>
      <c r="F56" s="13">
        <f t="shared" si="7"/>
        <v>3061.1313413125481</v>
      </c>
      <c r="G56" s="13">
        <f>F56*'2018-19 budget'!G$13</f>
        <v>3520.1353328596297</v>
      </c>
      <c r="H56" s="3">
        <f t="shared" si="9"/>
        <v>0.13900133993705477</v>
      </c>
      <c r="I56" s="8">
        <f t="shared" si="8"/>
        <v>0.27369803747590937</v>
      </c>
      <c r="J56" s="13">
        <f t="shared" si="10"/>
        <v>407.95767946960041</v>
      </c>
      <c r="K56" s="13">
        <f t="shared" si="6"/>
        <v>429.58994943263178</v>
      </c>
      <c r="L56" s="33">
        <f t="shared" si="5"/>
        <v>0.7440156220760954</v>
      </c>
      <c r="M56" s="14"/>
    </row>
    <row r="57" spans="1:16" x14ac:dyDescent="0.25">
      <c r="A57" t="s">
        <v>37</v>
      </c>
      <c r="B57" s="15">
        <f>'green book comparison'!D40/1000</f>
        <v>2879.5707135016</v>
      </c>
      <c r="C57" s="1">
        <v>1036.6780000000001</v>
      </c>
      <c r="D57" s="73">
        <v>87.7</v>
      </c>
      <c r="E57" s="73">
        <f t="shared" si="2"/>
        <v>87.35059760956176</v>
      </c>
      <c r="F57" s="13">
        <f t="shared" si="7"/>
        <v>3296.566700519505</v>
      </c>
      <c r="G57" s="13">
        <f>F57*'2018-19 budget'!G$13</f>
        <v>3790.8732510155855</v>
      </c>
      <c r="H57" s="3">
        <f t="shared" si="9"/>
        <v>7.6911224301145886E-2</v>
      </c>
      <c r="I57" s="8">
        <f t="shared" si="8"/>
        <v>0.27776905784646727</v>
      </c>
      <c r="J57" s="13">
        <f t="shared" si="10"/>
        <v>260.53503403199966</v>
      </c>
      <c r="K57" s="13">
        <f t="shared" si="6"/>
        <v>270.73791815595587</v>
      </c>
      <c r="L57" s="33">
        <f t="shared" si="5"/>
        <v>0.75960617061785307</v>
      </c>
      <c r="M57" s="14"/>
    </row>
    <row r="58" spans="1:16" x14ac:dyDescent="0.25">
      <c r="A58" t="s">
        <v>38</v>
      </c>
      <c r="B58" s="15">
        <f>'green book comparison'!D41/1000</f>
        <v>3047.1135083008994</v>
      </c>
      <c r="C58" s="1">
        <v>1127.604</v>
      </c>
      <c r="D58" s="73">
        <v>91.6</v>
      </c>
      <c r="E58" s="73">
        <f t="shared" si="2"/>
        <v>91.235059760956162</v>
      </c>
      <c r="F58" s="13">
        <f t="shared" si="7"/>
        <v>3339.8493038581919</v>
      </c>
      <c r="G58" s="13">
        <f>F58*'2018-19 budget'!G$13</f>
        <v>3840.6459018177329</v>
      </c>
      <c r="H58" s="3">
        <f t="shared" si="9"/>
        <v>1.3129600360237196E-2</v>
      </c>
      <c r="I58" s="8">
        <f t="shared" si="8"/>
        <v>0.27022904391088537</v>
      </c>
      <c r="J58" s="13">
        <f t="shared" si="10"/>
        <v>167.54279479929937</v>
      </c>
      <c r="K58" s="13">
        <f t="shared" si="6"/>
        <v>49.772650802147382</v>
      </c>
      <c r="L58" s="33">
        <f t="shared" si="5"/>
        <v>0.79338569245832746</v>
      </c>
      <c r="M58" s="14"/>
    </row>
    <row r="59" spans="1:16" x14ac:dyDescent="0.25">
      <c r="A59" t="s">
        <v>39</v>
      </c>
      <c r="B59" s="15">
        <f>'green book comparison'!D42/1000</f>
        <v>3709.1856654378998</v>
      </c>
      <c r="C59" s="1">
        <v>1214.1079999999999</v>
      </c>
      <c r="D59" s="73">
        <v>92.9</v>
      </c>
      <c r="E59" s="73">
        <f t="shared" si="2"/>
        <v>92.529880478087648</v>
      </c>
      <c r="F59" s="13">
        <f t="shared" si="7"/>
        <v>4008.6355307854164</v>
      </c>
      <c r="G59" s="13">
        <f>F59*'2018-19 budget'!G$13</f>
        <v>4609.713859067474</v>
      </c>
      <c r="H59" s="3">
        <f t="shared" si="9"/>
        <v>0.20024443203309894</v>
      </c>
      <c r="I59" s="8">
        <f t="shared" si="8"/>
        <v>0.30550706077530992</v>
      </c>
      <c r="J59" s="13">
        <f t="shared" si="10"/>
        <v>662.07215713700043</v>
      </c>
      <c r="K59" s="13">
        <f t="shared" si="6"/>
        <v>769.06795724974108</v>
      </c>
      <c r="L59" s="33">
        <f t="shared" si="5"/>
        <v>0.80464553307181907</v>
      </c>
      <c r="M59" s="14"/>
    </row>
    <row r="60" spans="1:16" x14ac:dyDescent="0.25">
      <c r="A60" t="s">
        <v>1</v>
      </c>
      <c r="B60" s="15">
        <f>'green book comparison'!D43/1000</f>
        <v>3813.2244176155004</v>
      </c>
      <c r="C60" s="1">
        <v>1248.53</v>
      </c>
      <c r="D60" s="73">
        <v>95.8</v>
      </c>
      <c r="E60" s="73">
        <f t="shared" si="2"/>
        <v>95.418326693227087</v>
      </c>
      <c r="F60" s="13">
        <f t="shared" si="7"/>
        <v>3996.3228760813804</v>
      </c>
      <c r="G60" s="13">
        <f>F60*'2018-19 budget'!G$13</f>
        <v>4595.5549726845093</v>
      </c>
      <c r="H60" s="3">
        <f t="shared" si="9"/>
        <v>-3.0715325974331265E-3</v>
      </c>
      <c r="I60" s="8">
        <f t="shared" si="8"/>
        <v>0.30541712394700171</v>
      </c>
      <c r="J60" s="13">
        <f t="shared" si="10"/>
        <v>104.0387521776006</v>
      </c>
      <c r="K60" s="13">
        <f t="shared" si="6"/>
        <v>-14.158886382964738</v>
      </c>
      <c r="L60" s="33">
        <f t="shared" si="5"/>
        <v>0.82976363905576178</v>
      </c>
      <c r="M60" s="14"/>
    </row>
    <row r="61" spans="1:16" x14ac:dyDescent="0.25">
      <c r="A61" t="s">
        <v>2</v>
      </c>
      <c r="B61" s="15">
        <f>'green book comparison'!D44/1000</f>
        <v>4259.6384054260998</v>
      </c>
      <c r="C61" s="1">
        <v>1357.355</v>
      </c>
      <c r="D61" s="73">
        <v>99.2</v>
      </c>
      <c r="E61" s="73">
        <f t="shared" si="2"/>
        <v>98.804780876494021</v>
      </c>
      <c r="F61" s="13">
        <f t="shared" si="7"/>
        <v>4311.1662893627054</v>
      </c>
      <c r="G61" s="13">
        <f>F61*'2018-19 budget'!G$13</f>
        <v>4957.6078543927824</v>
      </c>
      <c r="H61" s="3">
        <f t="shared" si="9"/>
        <v>7.8783277288657583E-2</v>
      </c>
      <c r="I61" s="8">
        <f t="shared" si="8"/>
        <v>0.31381903816069484</v>
      </c>
      <c r="J61" s="13">
        <f t="shared" si="10"/>
        <v>446.41398781059934</v>
      </c>
      <c r="K61" s="13">
        <f t="shared" si="6"/>
        <v>362.05288170827316</v>
      </c>
      <c r="L61" s="33">
        <f t="shared" si="5"/>
        <v>0.85921245296797055</v>
      </c>
      <c r="M61" s="14"/>
    </row>
    <row r="62" spans="1:16" x14ac:dyDescent="0.25">
      <c r="A62" t="s">
        <v>3</v>
      </c>
      <c r="B62" s="15">
        <f>'green book comparison'!D45/1000</f>
        <v>4764.9995516866993</v>
      </c>
      <c r="C62" s="1">
        <v>1451.1959999999999</v>
      </c>
      <c r="D62" s="75">
        <v>100.4</v>
      </c>
      <c r="E62" s="73">
        <f t="shared" si="2"/>
        <v>100</v>
      </c>
      <c r="F62" s="13">
        <f t="shared" si="7"/>
        <v>4764.9995516866993</v>
      </c>
      <c r="G62" s="13">
        <f>F62*'2018-19 budget'!G$13</f>
        <v>5479.4915384978376</v>
      </c>
      <c r="H62" s="3">
        <f t="shared" si="9"/>
        <v>0.10526925473595719</v>
      </c>
      <c r="I62" s="8">
        <f t="shared" si="8"/>
        <v>0.3283498267419907</v>
      </c>
      <c r="J62" s="13">
        <f t="shared" si="10"/>
        <v>505.36114626059953</v>
      </c>
      <c r="K62" s="13">
        <f t="shared" si="6"/>
        <v>521.88368410505518</v>
      </c>
      <c r="L62" s="33">
        <f t="shared" si="5"/>
        <v>0.86960615199580893</v>
      </c>
      <c r="M62" s="14"/>
    </row>
    <row r="63" spans="1:16" x14ac:dyDescent="0.25">
      <c r="A63" t="s">
        <v>5</v>
      </c>
      <c r="B63" s="15">
        <f>'green book comparison'!D46/1000</f>
        <v>4856.4567193147004</v>
      </c>
      <c r="C63" s="1">
        <v>1495.6690000000001</v>
      </c>
      <c r="D63" s="73">
        <v>102.8</v>
      </c>
      <c r="E63" s="73">
        <f t="shared" si="2"/>
        <v>102.39043824701196</v>
      </c>
      <c r="F63" s="13">
        <f t="shared" si="7"/>
        <v>4743.0764068015169</v>
      </c>
      <c r="G63" s="13">
        <f>F63*'2018-19 budget'!G$13</f>
        <v>5454.2811086556994</v>
      </c>
      <c r="H63" s="3">
        <f t="shared" si="9"/>
        <v>-4.6008702933502113E-3</v>
      </c>
      <c r="I63" s="8">
        <f t="shared" si="8"/>
        <v>0.32470130218081011</v>
      </c>
      <c r="J63" s="13">
        <f t="shared" si="10"/>
        <v>91.457167628001116</v>
      </c>
      <c r="K63" s="13">
        <f t="shared" si="6"/>
        <v>-25.210429842138183</v>
      </c>
      <c r="L63" s="33">
        <f t="shared" si="5"/>
        <v>0.89039355005148557</v>
      </c>
      <c r="N63" s="3"/>
      <c r="O63" s="3"/>
      <c r="P63" s="6"/>
    </row>
    <row r="64" spans="1:16" x14ac:dyDescent="0.25">
      <c r="A64" t="s">
        <v>4</v>
      </c>
      <c r="B64" s="15">
        <f>'green book comparison'!D47/1000</f>
        <v>5051.5333208062984</v>
      </c>
      <c r="C64" s="1">
        <v>1553.9469999999999</v>
      </c>
      <c r="D64" s="73">
        <v>105.9</v>
      </c>
      <c r="E64" s="73">
        <f t="shared" si="2"/>
        <v>105.47808764940238</v>
      </c>
      <c r="F64" s="13">
        <f t="shared" si="7"/>
        <v>4789.1779547587576</v>
      </c>
      <c r="G64" s="13">
        <f>F64*'2018-19 budget'!G$13</f>
        <v>5507.2953931699412</v>
      </c>
      <c r="H64" s="3">
        <f t="shared" si="9"/>
        <v>9.7197565468546045E-3</v>
      </c>
      <c r="I64" s="8">
        <f t="shared" si="8"/>
        <v>0.32507758120491226</v>
      </c>
      <c r="J64" s="13">
        <f t="shared" si="10"/>
        <v>195.07660149159801</v>
      </c>
      <c r="K64" s="13">
        <f t="shared" si="6"/>
        <v>53.014284514241808</v>
      </c>
      <c r="L64" s="33">
        <f t="shared" si="5"/>
        <v>0.91724393920673453</v>
      </c>
      <c r="N64" s="3"/>
      <c r="O64" s="3"/>
      <c r="P64" s="6"/>
    </row>
    <row r="65" spans="1:16" x14ac:dyDescent="0.25">
      <c r="A65" t="s">
        <v>45</v>
      </c>
      <c r="B65" s="15">
        <f>'green book comparison'!D48/1000</f>
        <v>5054.0318415688016</v>
      </c>
      <c r="C65" s="1">
        <v>1587.954</v>
      </c>
      <c r="D65" s="73">
        <v>107.5</v>
      </c>
      <c r="E65" s="73">
        <f t="shared" si="2"/>
        <v>107.07171314741035</v>
      </c>
      <c r="F65" s="13">
        <f t="shared" si="7"/>
        <v>4720.2306687768159</v>
      </c>
      <c r="G65" s="13">
        <f>F65*'2018-19 budget'!G$13</f>
        <v>5428.0097466462794</v>
      </c>
      <c r="H65" s="3">
        <f t="shared" si="9"/>
        <v>-1.4396476103677096E-2</v>
      </c>
      <c r="I65" s="8">
        <f t="shared" si="8"/>
        <v>0.31827318937253862</v>
      </c>
      <c r="J65" s="13">
        <f t="shared" si="10"/>
        <v>2.4985207625031762</v>
      </c>
      <c r="K65" s="13">
        <f t="shared" si="6"/>
        <v>-79.285646523661853</v>
      </c>
      <c r="L65" s="33">
        <f t="shared" si="5"/>
        <v>0.93110220457718562</v>
      </c>
      <c r="N65" s="3"/>
      <c r="O65" s="3"/>
      <c r="P65" s="6"/>
    </row>
    <row r="66" spans="1:16" x14ac:dyDescent="0.25">
      <c r="A66" t="s">
        <v>44</v>
      </c>
      <c r="B66" s="15">
        <f>'green book comparison'!D49/1000</f>
        <v>4209.509</v>
      </c>
      <c r="C66" s="1">
        <v>1622.2809999999999</v>
      </c>
      <c r="D66" s="73">
        <v>108.6</v>
      </c>
      <c r="E66" s="73">
        <f t="shared" si="2"/>
        <v>108.16733067729083</v>
      </c>
      <c r="F66" s="13">
        <f t="shared" si="7"/>
        <v>3891.6639373848989</v>
      </c>
      <c r="G66" s="13">
        <f>F66*'2018-19 budget'!G$13</f>
        <v>4475.2028587346695</v>
      </c>
      <c r="H66" s="3">
        <f t="shared" si="9"/>
        <v>-0.17553522052909099</v>
      </c>
      <c r="I66" s="8">
        <f t="shared" si="8"/>
        <v>0.25948087908321676</v>
      </c>
      <c r="J66" s="13">
        <f t="shared" si="10"/>
        <v>-844.5228415688016</v>
      </c>
      <c r="K66" s="13">
        <f t="shared" si="6"/>
        <v>-952.80688791160992</v>
      </c>
      <c r="L66" s="33">
        <f t="shared" si="5"/>
        <v>0.94062976201937076</v>
      </c>
      <c r="N66" s="3"/>
      <c r="O66" s="3"/>
      <c r="P66" s="6"/>
    </row>
    <row r="67" spans="1:16" x14ac:dyDescent="0.25">
      <c r="A67" t="s">
        <v>43</v>
      </c>
      <c r="B67" s="15">
        <f>'green book comparison'!D50/1000</f>
        <v>4033.53</v>
      </c>
      <c r="C67" s="1">
        <v>1699.4</v>
      </c>
      <c r="D67" s="73">
        <v>110.7</v>
      </c>
      <c r="E67" s="73">
        <f t="shared" si="2"/>
        <v>110.25896414342628</v>
      </c>
      <c r="F67" s="13">
        <f t="shared" si="7"/>
        <v>3658.233170731708</v>
      </c>
      <c r="G67" s="13">
        <f>F67*'2018-19 budget'!G$13</f>
        <v>4206.7701135000016</v>
      </c>
      <c r="H67" s="3">
        <f t="shared" si="9"/>
        <v>-5.9982251913059718E-2</v>
      </c>
      <c r="I67" s="8">
        <f t="shared" si="8"/>
        <v>0.23735024126162177</v>
      </c>
      <c r="J67" s="13">
        <f t="shared" si="10"/>
        <v>-175.97899999999981</v>
      </c>
      <c r="K67" s="13">
        <f t="shared" si="6"/>
        <v>-268.43274523466789</v>
      </c>
      <c r="L67" s="33">
        <f t="shared" si="5"/>
        <v>0.95881873531808781</v>
      </c>
      <c r="N67" s="3"/>
      <c r="O67" s="3"/>
      <c r="P67" s="6"/>
    </row>
    <row r="68" spans="1:16" x14ac:dyDescent="0.25">
      <c r="A68" t="s">
        <v>42</v>
      </c>
      <c r="B68" s="15">
        <f>'2018-19 budget'!B8</f>
        <v>4077</v>
      </c>
      <c r="C68" s="15">
        <f>'2018-19 budget'!V8</f>
        <v>1771.9226549999998</v>
      </c>
      <c r="D68" s="71"/>
      <c r="E68" s="71">
        <f>'2018-19 budget'!H8*100</f>
        <v>112.46414342629483</v>
      </c>
      <c r="F68" s="13">
        <f t="shared" ref="F68:F72" si="11">B68/E68*100</f>
        <v>3625.1554280248683</v>
      </c>
      <c r="G68" s="13">
        <f>F68*'2018-19 budget'!G$13</f>
        <v>4168.7325000000001</v>
      </c>
      <c r="H68" s="3">
        <f t="shared" ref="H68:H72" si="12">(F68-F67)/F67</f>
        <v>-9.0419995563660507E-3</v>
      </c>
      <c r="I68" s="33">
        <f>'2018-19 budget'!Y8*100</f>
        <v>0.23008904979546074</v>
      </c>
      <c r="J68" s="13">
        <f t="shared" si="10"/>
        <v>43.4699999999998</v>
      </c>
      <c r="K68" s="13">
        <f t="shared" si="6"/>
        <v>-38.037613500001498</v>
      </c>
      <c r="L68" s="33">
        <f t="shared" si="5"/>
        <v>0.97799511002444983</v>
      </c>
      <c r="N68" s="3"/>
      <c r="O68" s="3"/>
      <c r="P68" s="6"/>
    </row>
    <row r="69" spans="1:16" x14ac:dyDescent="0.25">
      <c r="A69" t="s">
        <v>74</v>
      </c>
      <c r="B69" s="15">
        <f>'2018-19 budget'!B9</f>
        <v>4161</v>
      </c>
      <c r="C69" s="15">
        <f>'2018-19 budget'!V9</f>
        <v>1838.3697545625</v>
      </c>
      <c r="D69" s="71"/>
      <c r="E69" s="71">
        <f>'2018-19 budget'!H9*100</f>
        <v>114.99458665338646</v>
      </c>
      <c r="F69" s="13">
        <f t="shared" si="11"/>
        <v>3618.4311984545607</v>
      </c>
      <c r="G69" s="13">
        <f>F69*'2018-19 budget'!G$13</f>
        <v>4161</v>
      </c>
      <c r="H69" s="3">
        <f t="shared" si="12"/>
        <v>-1.8548803503223318E-3</v>
      </c>
      <c r="I69" s="33">
        <f>'2018-19 budget'!Y9*100</f>
        <v>0.22634184389039</v>
      </c>
      <c r="J69" s="13">
        <f t="shared" si="10"/>
        <v>84</v>
      </c>
      <c r="K69" s="13">
        <f t="shared" si="6"/>
        <v>-7.7325000000000728</v>
      </c>
      <c r="L69" s="33">
        <f t="shared" si="5"/>
        <v>1</v>
      </c>
      <c r="N69" s="3"/>
      <c r="O69" s="3"/>
      <c r="P69" s="6"/>
    </row>
    <row r="70" spans="1:16" x14ac:dyDescent="0.25">
      <c r="A70" t="s">
        <v>118</v>
      </c>
      <c r="B70" s="15">
        <f>'2018-19 budget'!B10</f>
        <v>4170</v>
      </c>
      <c r="C70" s="15">
        <f>'2018-19 budget'!V10</f>
        <v>1925.692317904219</v>
      </c>
      <c r="D70" s="71"/>
      <c r="E70" s="71">
        <f>'2018-19 budget'!H10*100</f>
        <v>117.86945131972111</v>
      </c>
      <c r="F70" s="13">
        <f t="shared" si="11"/>
        <v>3537.8123451927058</v>
      </c>
      <c r="G70" s="13">
        <f>F70*'2018-19 budget'!G$13</f>
        <v>4068.2926829268299</v>
      </c>
      <c r="H70" s="3">
        <f t="shared" si="12"/>
        <v>-2.2280056975046897E-2</v>
      </c>
      <c r="I70" s="33">
        <f>'2018-19 budget'!Y10*100</f>
        <v>0.21654549697421649</v>
      </c>
      <c r="J70" s="13">
        <f t="shared" si="10"/>
        <v>9</v>
      </c>
      <c r="K70" s="13">
        <f t="shared" si="6"/>
        <v>-92.707317073170088</v>
      </c>
      <c r="L70" s="33">
        <f t="shared" si="5"/>
        <v>1.0249999999999999</v>
      </c>
    </row>
    <row r="71" spans="1:16" x14ac:dyDescent="0.25">
      <c r="A71" t="s">
        <v>139</v>
      </c>
      <c r="B71" s="15">
        <f>'2018-19 budget'!B11</f>
        <v>4000</v>
      </c>
      <c r="C71" s="15">
        <f>'2018-19 budget'!V11</f>
        <v>2012.3484722099088</v>
      </c>
      <c r="D71" s="71"/>
      <c r="E71" s="71">
        <f>'2018-19 budget'!H11*100</f>
        <v>120.81618760271414</v>
      </c>
      <c r="F71" s="13">
        <f t="shared" si="11"/>
        <v>3310.8146179495407</v>
      </c>
      <c r="G71" s="13">
        <f>F71*'2018-19 budget'!G$13</f>
        <v>3807.2575847709704</v>
      </c>
      <c r="H71" s="3">
        <f t="shared" si="12"/>
        <v>-6.4163303503538577E-2</v>
      </c>
      <c r="I71" s="33">
        <f>'2018-19 budget'!Y11*100</f>
        <v>0.19877273023231923</v>
      </c>
      <c r="J71" s="13">
        <f t="shared" si="10"/>
        <v>-170</v>
      </c>
      <c r="K71" s="13">
        <f t="shared" si="6"/>
        <v>-261.03509815585949</v>
      </c>
      <c r="L71" s="33">
        <f t="shared" si="5"/>
        <v>1.0506249999999997</v>
      </c>
    </row>
    <row r="72" spans="1:16" x14ac:dyDescent="0.25">
      <c r="A72" t="s">
        <v>154</v>
      </c>
      <c r="B72" s="15">
        <f>'2018-19 budget'!B12</f>
        <v>4000</v>
      </c>
      <c r="C72" s="15">
        <f>'2018-19 budget'!V12</f>
        <v>2102.9041534593543</v>
      </c>
      <c r="D72" s="71"/>
      <c r="E72" s="71">
        <f>'2018-19 budget'!H12*100</f>
        <v>123.83659229278197</v>
      </c>
      <c r="F72" s="13">
        <f t="shared" si="11"/>
        <v>3230.0630419019908</v>
      </c>
      <c r="G72" s="13">
        <f>F72*'2018-19 budget'!G$13</f>
        <v>3714.3976436789958</v>
      </c>
      <c r="H72" s="3">
        <f t="shared" si="12"/>
        <v>-2.439024390243905E-2</v>
      </c>
      <c r="I72" s="33">
        <f>'2018-19 budget'!Y12*100</f>
        <v>0.19021313897829598</v>
      </c>
      <c r="J72" s="13">
        <f t="shared" si="10"/>
        <v>0</v>
      </c>
      <c r="K72" s="13">
        <f t="shared" si="6"/>
        <v>-92.859941091974633</v>
      </c>
      <c r="L72" s="33">
        <f t="shared" si="5"/>
        <v>1.0768906249999997</v>
      </c>
    </row>
    <row r="73" spans="1:16" x14ac:dyDescent="0.25">
      <c r="B73" s="4"/>
      <c r="C73" s="4"/>
      <c r="D73" s="72"/>
      <c r="E73" s="72"/>
    </row>
    <row r="74" spans="1:16" x14ac:dyDescent="0.25">
      <c r="B74" s="4"/>
      <c r="C74" s="4"/>
      <c r="D74" s="72"/>
      <c r="E74" s="72"/>
    </row>
    <row r="75" spans="1:16" x14ac:dyDescent="0.25">
      <c r="B75" s="4"/>
      <c r="C75" s="4"/>
      <c r="D75" s="72"/>
      <c r="E75" s="72"/>
    </row>
    <row r="76" spans="1:16" x14ac:dyDescent="0.25">
      <c r="A76" s="9" t="s">
        <v>230</v>
      </c>
      <c r="B76" s="4"/>
      <c r="C76" s="4"/>
      <c r="D76" s="72"/>
      <c r="E76" s="72"/>
    </row>
    <row r="77" spans="1:16" x14ac:dyDescent="0.25">
      <c r="B77" s="4"/>
      <c r="C77" s="4"/>
      <c r="D77" s="72"/>
      <c r="E77" s="72"/>
    </row>
    <row r="78" spans="1:16" x14ac:dyDescent="0.25">
      <c r="B78" s="4"/>
      <c r="C78" s="4"/>
      <c r="D78" s="72"/>
      <c r="E78" s="72"/>
    </row>
    <row r="79" spans="1:16" x14ac:dyDescent="0.25">
      <c r="B79" s="4"/>
      <c r="C79" s="4"/>
      <c r="D79" s="72"/>
      <c r="E79" s="72"/>
    </row>
    <row r="80" spans="1:16" x14ac:dyDescent="0.25">
      <c r="B80" s="4"/>
      <c r="C80" s="4"/>
      <c r="D80" s="72"/>
      <c r="E80" s="72"/>
    </row>
    <row r="81" spans="2:5" x14ac:dyDescent="0.25">
      <c r="B81" s="4"/>
      <c r="C81" s="4"/>
      <c r="D81" s="72"/>
      <c r="E81" s="72"/>
    </row>
    <row r="82" spans="2:5" x14ac:dyDescent="0.25">
      <c r="B82" s="4"/>
      <c r="C82" s="4"/>
      <c r="D82" s="72"/>
      <c r="E82" s="72"/>
    </row>
    <row r="83" spans="2:5" x14ac:dyDescent="0.25">
      <c r="B83" s="4"/>
      <c r="C83" s="4"/>
      <c r="D83" s="72"/>
      <c r="E83" s="72"/>
    </row>
    <row r="84" spans="2:5" x14ac:dyDescent="0.25">
      <c r="B84" s="4"/>
      <c r="C84" s="4"/>
      <c r="D84" s="72"/>
      <c r="E84" s="72"/>
    </row>
    <row r="85" spans="2:5" x14ac:dyDescent="0.25">
      <c r="B85" s="4"/>
      <c r="C85" s="4"/>
      <c r="D85" s="72"/>
      <c r="E85" s="72"/>
    </row>
    <row r="86" spans="2:5" x14ac:dyDescent="0.25">
      <c r="B86" s="4"/>
      <c r="C86" s="4"/>
      <c r="D86" s="72"/>
      <c r="E86" s="72"/>
    </row>
    <row r="87" spans="2:5" x14ac:dyDescent="0.25">
      <c r="B87" s="4"/>
      <c r="C87" s="4"/>
      <c r="D87" s="72"/>
      <c r="E87" s="72"/>
    </row>
    <row r="88" spans="2:5" x14ac:dyDescent="0.25">
      <c r="B88" s="4"/>
      <c r="C88" s="4"/>
      <c r="D88" s="72"/>
      <c r="E88" s="72"/>
    </row>
    <row r="89" spans="2:5" x14ac:dyDescent="0.25">
      <c r="B89" s="4"/>
      <c r="C89" s="4"/>
      <c r="D89" s="72"/>
      <c r="E89" s="72"/>
    </row>
    <row r="90" spans="2:5" x14ac:dyDescent="0.25">
      <c r="B90" s="4"/>
      <c r="C90" s="4"/>
      <c r="D90" s="72"/>
      <c r="E90" s="72"/>
    </row>
    <row r="91" spans="2:5" x14ac:dyDescent="0.25">
      <c r="B91" s="4"/>
      <c r="C91" s="4"/>
      <c r="D91" s="72"/>
      <c r="E91" s="72"/>
    </row>
    <row r="92" spans="2:5" x14ac:dyDescent="0.25">
      <c r="B92" s="4"/>
      <c r="C92" s="4"/>
      <c r="D92" s="72"/>
      <c r="E92" s="72"/>
    </row>
    <row r="93" spans="2:5" x14ac:dyDescent="0.25">
      <c r="B93" s="4"/>
      <c r="C93" s="4"/>
      <c r="D93" s="72"/>
      <c r="E93" s="72"/>
    </row>
    <row r="94" spans="2:5" x14ac:dyDescent="0.25">
      <c r="B94" s="4"/>
      <c r="C94" s="4"/>
      <c r="D94" s="72"/>
      <c r="E94" s="72"/>
    </row>
    <row r="95" spans="2:5" x14ac:dyDescent="0.25">
      <c r="B95" s="4"/>
      <c r="C95" s="4"/>
      <c r="D95" s="72"/>
      <c r="E95" s="72"/>
    </row>
    <row r="96" spans="2:5" x14ac:dyDescent="0.25">
      <c r="B96" s="4"/>
      <c r="C96" s="4"/>
      <c r="D96" s="72"/>
      <c r="E96" s="72"/>
    </row>
    <row r="97" spans="2:5" x14ac:dyDescent="0.25">
      <c r="B97" s="4"/>
      <c r="C97" s="4"/>
      <c r="D97" s="72"/>
      <c r="E97" s="72"/>
    </row>
    <row r="98" spans="2:5" x14ac:dyDescent="0.25">
      <c r="B98" s="4"/>
      <c r="C98" s="4"/>
      <c r="D98" s="72"/>
      <c r="E98" s="72"/>
    </row>
    <row r="99" spans="2:5" x14ac:dyDescent="0.25">
      <c r="B99" s="4"/>
      <c r="C99" s="4"/>
      <c r="D99" s="72"/>
      <c r="E99" s="72"/>
    </row>
    <row r="100" spans="2:5" x14ac:dyDescent="0.25">
      <c r="B100" s="4"/>
      <c r="C100" s="4"/>
      <c r="D100" s="72"/>
      <c r="E100" s="72"/>
    </row>
    <row r="101" spans="2:5" x14ac:dyDescent="0.25">
      <c r="B101" s="4"/>
      <c r="C101" s="4"/>
      <c r="D101" s="72"/>
      <c r="E101" s="72"/>
    </row>
    <row r="102" spans="2:5" x14ac:dyDescent="0.25">
      <c r="B102" s="4"/>
      <c r="C102" s="4"/>
      <c r="D102" s="72"/>
      <c r="E102" s="72"/>
    </row>
    <row r="103" spans="2:5" x14ac:dyDescent="0.25">
      <c r="B103" s="4"/>
      <c r="C103" s="4"/>
      <c r="D103" s="72"/>
      <c r="E103" s="72"/>
    </row>
    <row r="104" spans="2:5" x14ac:dyDescent="0.25">
      <c r="B104" s="4"/>
      <c r="C104" s="4"/>
      <c r="D104" s="72"/>
      <c r="E104" s="72"/>
    </row>
    <row r="105" spans="2:5" x14ac:dyDescent="0.25">
      <c r="B105" s="4"/>
      <c r="C105" s="4"/>
      <c r="D105" s="72"/>
      <c r="E105" s="72"/>
    </row>
    <row r="106" spans="2:5" x14ac:dyDescent="0.25">
      <c r="B106" s="4"/>
      <c r="C106" s="4"/>
      <c r="D106" s="72"/>
      <c r="E106" s="72"/>
    </row>
    <row r="107" spans="2:5" x14ac:dyDescent="0.25">
      <c r="B107" s="4"/>
      <c r="C107" s="4"/>
      <c r="D107" s="72"/>
      <c r="E107" s="72"/>
    </row>
    <row r="108" spans="2:5" x14ac:dyDescent="0.25">
      <c r="B108" s="4"/>
      <c r="C108" s="4"/>
      <c r="D108" s="72"/>
      <c r="E108" s="72"/>
    </row>
    <row r="109" spans="2:5" x14ac:dyDescent="0.25">
      <c r="B109" s="4"/>
      <c r="C109" s="4"/>
      <c r="D109" s="72"/>
      <c r="E109" s="72"/>
    </row>
    <row r="110" spans="2:5" x14ac:dyDescent="0.25">
      <c r="B110" s="4"/>
      <c r="C110" s="4"/>
      <c r="D110" s="72"/>
      <c r="E110" s="72"/>
    </row>
    <row r="111" spans="2:5" x14ac:dyDescent="0.25">
      <c r="B111" s="4"/>
      <c r="C111" s="4"/>
      <c r="D111" s="72"/>
      <c r="E111" s="72"/>
    </row>
    <row r="112" spans="2:5" x14ac:dyDescent="0.25">
      <c r="B112" s="4"/>
      <c r="C112" s="4"/>
      <c r="D112" s="72"/>
      <c r="E112" s="72"/>
    </row>
    <row r="113" spans="2:5" x14ac:dyDescent="0.25">
      <c r="B113" s="4"/>
      <c r="C113" s="4"/>
      <c r="D113" s="72"/>
      <c r="E113" s="72"/>
    </row>
    <row r="114" spans="2:5" x14ac:dyDescent="0.25">
      <c r="B114" s="4"/>
      <c r="C114" s="4"/>
      <c r="D114" s="72"/>
      <c r="E114" s="72"/>
    </row>
    <row r="115" spans="2:5" x14ac:dyDescent="0.25">
      <c r="B115" s="4"/>
      <c r="C115" s="4"/>
      <c r="D115" s="72"/>
      <c r="E115" s="72"/>
    </row>
    <row r="116" spans="2:5" x14ac:dyDescent="0.25">
      <c r="B116" s="4"/>
      <c r="C116" s="4"/>
      <c r="D116" s="72"/>
      <c r="E116" s="72"/>
    </row>
    <row r="117" spans="2:5" x14ac:dyDescent="0.25">
      <c r="B117" s="4"/>
      <c r="C117" s="4"/>
      <c r="D117" s="72"/>
      <c r="E117" s="72"/>
    </row>
    <row r="118" spans="2:5" x14ac:dyDescent="0.25">
      <c r="B118" s="4"/>
      <c r="C118" s="4"/>
      <c r="D118" s="72"/>
      <c r="E118" s="72"/>
    </row>
    <row r="119" spans="2:5" x14ac:dyDescent="0.25">
      <c r="B119" s="4"/>
      <c r="C119" s="4"/>
      <c r="D119" s="72"/>
      <c r="E119" s="72"/>
    </row>
    <row r="120" spans="2:5" x14ac:dyDescent="0.25">
      <c r="B120" s="4"/>
      <c r="C120" s="4"/>
      <c r="D120" s="72"/>
      <c r="E120" s="72"/>
    </row>
    <row r="121" spans="2:5" x14ac:dyDescent="0.25">
      <c r="B121" s="4"/>
      <c r="C121" s="4"/>
      <c r="D121" s="72"/>
      <c r="E121" s="72"/>
    </row>
    <row r="122" spans="2:5" x14ac:dyDescent="0.25">
      <c r="B122" s="4"/>
      <c r="C122" s="4"/>
      <c r="D122" s="72"/>
      <c r="E122" s="72"/>
    </row>
    <row r="123" spans="2:5" x14ac:dyDescent="0.25">
      <c r="B123" s="4"/>
      <c r="C123" s="4"/>
      <c r="D123" s="72"/>
      <c r="E123" s="72"/>
    </row>
    <row r="124" spans="2:5" x14ac:dyDescent="0.25">
      <c r="B124" s="4"/>
      <c r="C124" s="4"/>
      <c r="D124" s="72"/>
      <c r="E124" s="72"/>
    </row>
    <row r="125" spans="2:5" x14ac:dyDescent="0.25">
      <c r="B125" s="4"/>
      <c r="C125" s="4"/>
      <c r="D125" s="72"/>
      <c r="E125" s="72"/>
    </row>
    <row r="126" spans="2:5" x14ac:dyDescent="0.25">
      <c r="B126" s="4"/>
      <c r="C126" s="4"/>
      <c r="D126" s="72"/>
      <c r="E126" s="72"/>
    </row>
    <row r="127" spans="2:5" x14ac:dyDescent="0.25">
      <c r="B127" s="4"/>
      <c r="C127" s="4"/>
      <c r="D127" s="72"/>
      <c r="E127" s="72"/>
    </row>
    <row r="128" spans="2:5" x14ac:dyDescent="0.25">
      <c r="B128" s="4"/>
      <c r="C128" s="4"/>
      <c r="D128" s="72"/>
      <c r="E128" s="72"/>
    </row>
    <row r="129" spans="2:5" x14ac:dyDescent="0.25">
      <c r="B129" s="4"/>
      <c r="C129" s="4"/>
      <c r="D129" s="72"/>
      <c r="E129" s="72"/>
    </row>
    <row r="130" spans="2:5" x14ac:dyDescent="0.25">
      <c r="B130" s="4"/>
      <c r="C130" s="4"/>
      <c r="D130" s="72"/>
      <c r="E130" s="72"/>
    </row>
    <row r="131" spans="2:5" x14ac:dyDescent="0.25">
      <c r="B131" s="4"/>
      <c r="C131" s="4"/>
      <c r="D131" s="72"/>
      <c r="E131" s="72"/>
    </row>
    <row r="132" spans="2:5" x14ac:dyDescent="0.25">
      <c r="B132" s="4"/>
      <c r="C132" s="4"/>
      <c r="D132" s="72"/>
      <c r="E132" s="72"/>
    </row>
    <row r="133" spans="2:5" x14ac:dyDescent="0.25">
      <c r="B133" s="4"/>
      <c r="C133" s="4"/>
      <c r="D133" s="72"/>
      <c r="E133" s="72"/>
    </row>
    <row r="134" spans="2:5" x14ac:dyDescent="0.25">
      <c r="B134" s="4"/>
      <c r="C134" s="4"/>
      <c r="D134" s="72"/>
      <c r="E134" s="72"/>
    </row>
    <row r="135" spans="2:5" x14ac:dyDescent="0.25">
      <c r="B135" s="4"/>
      <c r="C135" s="4"/>
      <c r="D135" s="72"/>
      <c r="E135" s="72"/>
    </row>
    <row r="136" spans="2:5" x14ac:dyDescent="0.25">
      <c r="B136" s="4"/>
      <c r="C136" s="4"/>
      <c r="D136" s="72"/>
      <c r="E136" s="72"/>
    </row>
    <row r="137" spans="2:5" x14ac:dyDescent="0.25">
      <c r="B137" s="4"/>
      <c r="C137" s="4"/>
      <c r="D137" s="72"/>
      <c r="E137" s="72"/>
    </row>
    <row r="138" spans="2:5" x14ac:dyDescent="0.25">
      <c r="B138" s="4"/>
      <c r="C138" s="4"/>
      <c r="D138" s="72"/>
      <c r="E138" s="72"/>
    </row>
    <row r="139" spans="2:5" x14ac:dyDescent="0.25">
      <c r="B139" s="4"/>
      <c r="C139" s="4"/>
      <c r="D139" s="72"/>
      <c r="E139" s="72"/>
    </row>
    <row r="140" spans="2:5" x14ac:dyDescent="0.25">
      <c r="B140" s="4"/>
      <c r="C140" s="4"/>
      <c r="D140" s="72"/>
      <c r="E140" s="72"/>
    </row>
    <row r="141" spans="2:5" x14ac:dyDescent="0.25">
      <c r="B141" s="4"/>
      <c r="C141" s="4"/>
      <c r="D141" s="72"/>
      <c r="E141" s="72"/>
    </row>
    <row r="142" spans="2:5" x14ac:dyDescent="0.25">
      <c r="B142" s="4"/>
      <c r="C142" s="4"/>
      <c r="D142" s="72"/>
      <c r="E142" s="72"/>
    </row>
    <row r="143" spans="2:5" x14ac:dyDescent="0.25">
      <c r="B143" s="4"/>
      <c r="C143" s="4"/>
      <c r="D143" s="72"/>
      <c r="E143" s="72"/>
    </row>
    <row r="144" spans="2:5" x14ac:dyDescent="0.25">
      <c r="B144" s="4"/>
      <c r="C144" s="4"/>
      <c r="D144" s="72"/>
      <c r="E144" s="72"/>
    </row>
  </sheetData>
  <mergeCells count="3">
    <mergeCell ref="F7:G7"/>
    <mergeCell ref="F8:G8"/>
    <mergeCell ref="F9:G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workbookViewId="0">
      <selection activeCell="B8" sqref="B8:B50"/>
    </sheetView>
  </sheetViews>
  <sheetFormatPr defaultRowHeight="15" x14ac:dyDescent="0.25"/>
  <cols>
    <col min="1" max="1" width="16.5703125" customWidth="1"/>
    <col min="2" max="2" width="20.5703125" customWidth="1"/>
    <col min="3" max="3" width="3.7109375" customWidth="1"/>
    <col min="4" max="4" width="11.85546875" style="57" customWidth="1"/>
    <col min="5" max="5" width="12.140625" customWidth="1"/>
    <col min="6" max="6" width="3.7109375" customWidth="1"/>
    <col min="7" max="7" width="17" customWidth="1"/>
    <col min="8" max="8" width="3" customWidth="1"/>
    <col min="9" max="9" width="21.140625" customWidth="1"/>
    <col min="10" max="10" width="4.28515625" customWidth="1"/>
    <col min="11" max="11" width="15.7109375" customWidth="1"/>
    <col min="12" max="12" width="32.7109375" bestFit="1" customWidth="1"/>
  </cols>
  <sheetData>
    <row r="1" spans="1:11" x14ac:dyDescent="0.25">
      <c r="A1" s="68" t="s">
        <v>201</v>
      </c>
      <c r="B1" s="68"/>
      <c r="C1" s="68"/>
      <c r="D1" s="69"/>
      <c r="E1" s="68"/>
    </row>
    <row r="3" spans="1:11" x14ac:dyDescent="0.25">
      <c r="D3"/>
    </row>
    <row r="4" spans="1:11" x14ac:dyDescent="0.25">
      <c r="D4"/>
    </row>
    <row r="5" spans="1:11" ht="42.75" customHeight="1" x14ac:dyDescent="0.25">
      <c r="B5" s="76" t="s">
        <v>224</v>
      </c>
      <c r="C5" s="66"/>
      <c r="D5" s="90" t="s">
        <v>220</v>
      </c>
      <c r="E5" s="90"/>
      <c r="F5" s="66"/>
      <c r="G5" s="67" t="s">
        <v>200</v>
      </c>
      <c r="I5" s="76" t="s">
        <v>225</v>
      </c>
      <c r="J5" s="7"/>
      <c r="K5" s="67" t="s">
        <v>199</v>
      </c>
    </row>
    <row r="6" spans="1:11" ht="15" customHeight="1" x14ac:dyDescent="0.25">
      <c r="A6" t="s">
        <v>221</v>
      </c>
      <c r="B6" s="77" t="s">
        <v>223</v>
      </c>
      <c r="C6" s="66"/>
      <c r="D6" s="91" t="s">
        <v>222</v>
      </c>
      <c r="E6" s="91"/>
      <c r="F6" s="66"/>
      <c r="G6" s="67"/>
      <c r="I6" s="78" t="s">
        <v>226</v>
      </c>
      <c r="J6" s="7"/>
      <c r="K6" s="67"/>
    </row>
    <row r="7" spans="1:11" x14ac:dyDescent="0.25">
      <c r="B7" s="66" t="s">
        <v>192</v>
      </c>
      <c r="C7" s="66"/>
      <c r="D7" s="65" t="s">
        <v>198</v>
      </c>
      <c r="E7" s="65" t="s">
        <v>192</v>
      </c>
      <c r="F7" s="66"/>
      <c r="G7" s="65" t="s">
        <v>192</v>
      </c>
      <c r="I7" s="65" t="s">
        <v>198</v>
      </c>
      <c r="J7" s="66"/>
      <c r="K7" s="65" t="s">
        <v>192</v>
      </c>
    </row>
    <row r="8" spans="1:11" x14ac:dyDescent="0.25">
      <c r="A8" t="s">
        <v>6</v>
      </c>
      <c r="B8" s="13">
        <v>279.54000000000002</v>
      </c>
      <c r="C8" s="13"/>
      <c r="D8" s="58">
        <v>279540</v>
      </c>
      <c r="E8" s="56">
        <f t="shared" ref="E8:E50" si="0">D8/1000</f>
        <v>279.54000000000002</v>
      </c>
      <c r="F8" s="56"/>
      <c r="G8" s="56">
        <f t="shared" ref="G8:G50" si="1">E8-B8</f>
        <v>0</v>
      </c>
      <c r="I8" s="64">
        <v>279540</v>
      </c>
      <c r="J8" s="64"/>
      <c r="K8" s="61">
        <f t="shared" ref="K8:K49" si="2">(D8-I8)/1000</f>
        <v>0</v>
      </c>
    </row>
    <row r="9" spans="1:11" x14ac:dyDescent="0.25">
      <c r="A9" t="s">
        <v>7</v>
      </c>
      <c r="B9" s="13">
        <v>305.113</v>
      </c>
      <c r="C9" s="13"/>
      <c r="D9" s="58">
        <v>305113</v>
      </c>
      <c r="E9" s="56">
        <f t="shared" si="0"/>
        <v>305.113</v>
      </c>
      <c r="F9" s="56"/>
      <c r="G9" s="56">
        <f t="shared" si="1"/>
        <v>0</v>
      </c>
      <c r="I9" s="64">
        <v>305113</v>
      </c>
      <c r="J9" s="64"/>
      <c r="K9" s="61">
        <f t="shared" si="2"/>
        <v>0</v>
      </c>
    </row>
    <row r="10" spans="1:11" x14ac:dyDescent="0.25">
      <c r="A10" t="s">
        <v>8</v>
      </c>
      <c r="B10" s="13">
        <v>321.05700000000002</v>
      </c>
      <c r="C10" s="13"/>
      <c r="D10" s="58">
        <v>321057</v>
      </c>
      <c r="E10" s="56">
        <f t="shared" si="0"/>
        <v>321.05700000000002</v>
      </c>
      <c r="F10" s="56"/>
      <c r="G10" s="56">
        <f t="shared" si="1"/>
        <v>0</v>
      </c>
      <c r="I10" s="64">
        <v>321057</v>
      </c>
      <c r="J10" s="64"/>
      <c r="K10" s="61">
        <f t="shared" si="2"/>
        <v>0</v>
      </c>
    </row>
    <row r="11" spans="1:11" x14ac:dyDescent="0.25">
      <c r="A11" t="s">
        <v>9</v>
      </c>
      <c r="B11" s="13">
        <v>339.40499999999997</v>
      </c>
      <c r="C11" s="13"/>
      <c r="D11" s="58">
        <v>339405</v>
      </c>
      <c r="E11" s="56">
        <f t="shared" si="0"/>
        <v>339.40499999999997</v>
      </c>
      <c r="F11" s="56"/>
      <c r="G11" s="56">
        <f t="shared" si="1"/>
        <v>0</v>
      </c>
      <c r="I11" s="64">
        <v>339405</v>
      </c>
      <c r="J11" s="64"/>
      <c r="K11" s="61">
        <f t="shared" si="2"/>
        <v>0</v>
      </c>
    </row>
    <row r="12" spans="1:11" x14ac:dyDescent="0.25">
      <c r="A12" t="s">
        <v>10</v>
      </c>
      <c r="B12" s="13">
        <v>391.56599999999997</v>
      </c>
      <c r="C12" s="13"/>
      <c r="D12" s="58">
        <v>391566</v>
      </c>
      <c r="E12" s="56">
        <f t="shared" si="0"/>
        <v>391.56599999999997</v>
      </c>
      <c r="F12" s="56"/>
      <c r="G12" s="56">
        <f t="shared" si="1"/>
        <v>0</v>
      </c>
      <c r="I12" s="64">
        <v>391566</v>
      </c>
      <c r="J12" s="64"/>
      <c r="K12" s="61">
        <f t="shared" si="2"/>
        <v>0</v>
      </c>
    </row>
    <row r="13" spans="1:11" x14ac:dyDescent="0.25">
      <c r="A13" t="s">
        <v>11</v>
      </c>
      <c r="B13" s="13">
        <v>410.75400000000002</v>
      </c>
      <c r="C13" s="13"/>
      <c r="D13" s="58">
        <v>410754</v>
      </c>
      <c r="E13" s="56">
        <f t="shared" si="0"/>
        <v>410.75400000000002</v>
      </c>
      <c r="F13" s="56"/>
      <c r="G13" s="56">
        <f t="shared" si="1"/>
        <v>0</v>
      </c>
      <c r="I13" s="64">
        <v>410754</v>
      </c>
      <c r="J13" s="64"/>
      <c r="K13" s="61">
        <f t="shared" si="2"/>
        <v>0</v>
      </c>
    </row>
    <row r="14" spans="1:11" x14ac:dyDescent="0.25">
      <c r="A14" t="s">
        <v>12</v>
      </c>
      <c r="B14" s="13">
        <v>442.702</v>
      </c>
      <c r="C14" s="13"/>
      <c r="D14" s="58">
        <v>442704</v>
      </c>
      <c r="E14" s="56">
        <f t="shared" si="0"/>
        <v>442.70400000000001</v>
      </c>
      <c r="F14" s="56"/>
      <c r="G14" s="56">
        <f t="shared" si="1"/>
        <v>2.0000000000095497E-3</v>
      </c>
      <c r="I14" s="64">
        <v>442704</v>
      </c>
      <c r="J14" s="64"/>
      <c r="K14" s="61">
        <f t="shared" si="2"/>
        <v>0</v>
      </c>
    </row>
    <row r="15" spans="1:11" x14ac:dyDescent="0.25">
      <c r="A15" t="s">
        <v>13</v>
      </c>
      <c r="B15" s="13">
        <v>499.19099999999997</v>
      </c>
      <c r="C15" s="13"/>
      <c r="D15" s="58">
        <v>499191</v>
      </c>
      <c r="E15" s="56">
        <f t="shared" si="0"/>
        <v>499.19099999999997</v>
      </c>
      <c r="F15" s="56"/>
      <c r="G15" s="56">
        <f t="shared" si="1"/>
        <v>0</v>
      </c>
      <c r="I15" s="64">
        <v>499191</v>
      </c>
      <c r="J15" s="64"/>
      <c r="K15" s="61">
        <f t="shared" si="2"/>
        <v>0</v>
      </c>
    </row>
    <row r="16" spans="1:11" x14ac:dyDescent="0.25">
      <c r="A16" t="s">
        <v>14</v>
      </c>
      <c r="B16" s="13">
        <v>546.86800000000005</v>
      </c>
      <c r="C16" s="13"/>
      <c r="D16" s="58">
        <v>546868</v>
      </c>
      <c r="E16" s="56">
        <f t="shared" si="0"/>
        <v>546.86800000000005</v>
      </c>
      <c r="F16" s="56"/>
      <c r="G16" s="56">
        <f t="shared" si="1"/>
        <v>0</v>
      </c>
      <c r="I16" s="64">
        <v>546868</v>
      </c>
      <c r="J16" s="64"/>
      <c r="K16" s="61">
        <f t="shared" si="2"/>
        <v>0</v>
      </c>
    </row>
    <row r="17" spans="1:11" x14ac:dyDescent="0.25">
      <c r="A17" t="s">
        <v>15</v>
      </c>
      <c r="B17" s="13">
        <v>931.8</v>
      </c>
      <c r="C17" s="13"/>
      <c r="D17" s="58">
        <v>833168</v>
      </c>
      <c r="E17" s="56">
        <f t="shared" si="0"/>
        <v>833.16800000000001</v>
      </c>
      <c r="F17" s="56"/>
      <c r="G17" s="56">
        <f t="shared" si="1"/>
        <v>-98.631999999999948</v>
      </c>
      <c r="I17" s="64">
        <v>833168</v>
      </c>
      <c r="J17" s="64"/>
      <c r="K17" s="61">
        <f t="shared" si="2"/>
        <v>0</v>
      </c>
    </row>
    <row r="18" spans="1:11" x14ac:dyDescent="0.25">
      <c r="A18" t="s">
        <v>16</v>
      </c>
      <c r="B18" s="13">
        <v>1011.4</v>
      </c>
      <c r="C18" s="13"/>
      <c r="D18" s="58">
        <v>1011403</v>
      </c>
      <c r="E18" s="56">
        <f t="shared" si="0"/>
        <v>1011.403</v>
      </c>
      <c r="F18" s="56"/>
      <c r="G18" s="56">
        <f t="shared" si="1"/>
        <v>3.0000000000427463E-3</v>
      </c>
      <c r="I18" s="64">
        <v>1011403</v>
      </c>
      <c r="J18" s="64"/>
      <c r="K18" s="61">
        <f t="shared" si="2"/>
        <v>0</v>
      </c>
    </row>
    <row r="19" spans="1:11" x14ac:dyDescent="0.25">
      <c r="A19" t="s">
        <v>17</v>
      </c>
      <c r="B19" s="13">
        <v>1031</v>
      </c>
      <c r="C19" s="13"/>
      <c r="D19" s="58">
        <v>1030964</v>
      </c>
      <c r="E19" s="56">
        <f t="shared" si="0"/>
        <v>1030.9639999999999</v>
      </c>
      <c r="F19" s="56"/>
      <c r="G19" s="56">
        <f t="shared" si="1"/>
        <v>-3.6000000000058208E-2</v>
      </c>
      <c r="I19" s="64">
        <v>1030964</v>
      </c>
      <c r="J19" s="64"/>
      <c r="K19" s="61">
        <f t="shared" si="2"/>
        <v>0</v>
      </c>
    </row>
    <row r="20" spans="1:11" x14ac:dyDescent="0.25">
      <c r="A20" t="s">
        <v>18</v>
      </c>
      <c r="B20" s="13">
        <v>975.6</v>
      </c>
      <c r="C20" s="13"/>
      <c r="D20" s="58">
        <v>975616</v>
      </c>
      <c r="E20" s="56">
        <f t="shared" si="0"/>
        <v>975.61599999999999</v>
      </c>
      <c r="F20" s="56"/>
      <c r="G20" s="56">
        <f t="shared" si="1"/>
        <v>1.5999999999962711E-2</v>
      </c>
      <c r="I20" s="64">
        <v>975616</v>
      </c>
      <c r="J20" s="64"/>
      <c r="K20" s="61">
        <f t="shared" si="2"/>
        <v>0</v>
      </c>
    </row>
    <row r="21" spans="1:11" x14ac:dyDescent="0.25">
      <c r="A21" t="s">
        <v>19</v>
      </c>
      <c r="B21" s="13">
        <v>1019.6</v>
      </c>
      <c r="C21" s="13"/>
      <c r="D21" s="58">
        <v>1019561</v>
      </c>
      <c r="E21" s="56">
        <f t="shared" si="0"/>
        <v>1019.561</v>
      </c>
      <c r="F21" s="56"/>
      <c r="G21" s="56">
        <f t="shared" si="1"/>
        <v>-3.8999999999987267E-2</v>
      </c>
      <c r="I21" s="64">
        <v>1019561</v>
      </c>
      <c r="J21" s="64"/>
      <c r="K21" s="61">
        <f t="shared" si="2"/>
        <v>0</v>
      </c>
    </row>
    <row r="22" spans="1:11" x14ac:dyDescent="0.25">
      <c r="A22" t="s">
        <v>20</v>
      </c>
      <c r="B22" s="13">
        <v>1194.5999999999999</v>
      </c>
      <c r="C22" s="13"/>
      <c r="D22" s="58">
        <v>1194629</v>
      </c>
      <c r="E22" s="56">
        <f t="shared" si="0"/>
        <v>1194.6289999999999</v>
      </c>
      <c r="F22" s="56"/>
      <c r="G22" s="56">
        <f t="shared" si="1"/>
        <v>2.8999999999996362E-2</v>
      </c>
      <c r="I22" s="64">
        <v>1194629</v>
      </c>
      <c r="J22" s="64"/>
      <c r="K22" s="61">
        <f t="shared" si="2"/>
        <v>0</v>
      </c>
    </row>
    <row r="23" spans="1:11" x14ac:dyDescent="0.25">
      <c r="A23" t="s">
        <v>21</v>
      </c>
      <c r="B23" s="13">
        <v>1173.8</v>
      </c>
      <c r="C23" s="13"/>
      <c r="D23" s="58">
        <v>1173802</v>
      </c>
      <c r="E23" s="56">
        <f t="shared" si="0"/>
        <v>1173.8019999999999</v>
      </c>
      <c r="F23" s="56"/>
      <c r="G23" s="56">
        <f t="shared" si="1"/>
        <v>1.9999999999527063E-3</v>
      </c>
      <c r="I23" s="64">
        <v>1173802</v>
      </c>
      <c r="J23" s="64"/>
      <c r="K23" s="61">
        <f t="shared" si="2"/>
        <v>0</v>
      </c>
    </row>
    <row r="24" spans="1:11" x14ac:dyDescent="0.25">
      <c r="A24" t="s">
        <v>22</v>
      </c>
      <c r="B24" s="13">
        <v>1261</v>
      </c>
      <c r="C24" s="13"/>
      <c r="D24" s="58">
        <v>1261040</v>
      </c>
      <c r="E24" s="56">
        <f t="shared" si="0"/>
        <v>1261.04</v>
      </c>
      <c r="F24" s="56"/>
      <c r="G24" s="56">
        <f t="shared" si="1"/>
        <v>3.999999999996362E-2</v>
      </c>
      <c r="I24" s="64">
        <v>1261040</v>
      </c>
      <c r="J24" s="64"/>
      <c r="K24" s="61">
        <f t="shared" si="2"/>
        <v>0</v>
      </c>
    </row>
    <row r="25" spans="1:11" x14ac:dyDescent="0.25">
      <c r="A25" t="s">
        <v>23</v>
      </c>
      <c r="B25" s="13">
        <v>1330.3</v>
      </c>
      <c r="C25" s="13"/>
      <c r="D25" s="58">
        <v>1330263</v>
      </c>
      <c r="E25" s="56">
        <f t="shared" si="0"/>
        <v>1330.2629999999999</v>
      </c>
      <c r="F25" s="56"/>
      <c r="G25" s="56">
        <f t="shared" si="1"/>
        <v>-3.7000000000034561E-2</v>
      </c>
      <c r="I25" s="64">
        <v>1330263</v>
      </c>
      <c r="J25" s="64"/>
      <c r="K25" s="61">
        <f t="shared" si="2"/>
        <v>0</v>
      </c>
    </row>
    <row r="26" spans="1:11" x14ac:dyDescent="0.25">
      <c r="A26" t="s">
        <v>24</v>
      </c>
      <c r="B26" s="13">
        <v>1386.1</v>
      </c>
      <c r="C26" s="13"/>
      <c r="D26" s="58">
        <v>1386145</v>
      </c>
      <c r="E26" s="56">
        <f t="shared" si="0"/>
        <v>1386.145</v>
      </c>
      <c r="F26" s="56"/>
      <c r="G26" s="56">
        <f t="shared" si="1"/>
        <v>4.500000000007276E-2</v>
      </c>
      <c r="I26" s="64">
        <v>1386145</v>
      </c>
      <c r="J26" s="64"/>
      <c r="K26" s="61">
        <f t="shared" si="2"/>
        <v>0</v>
      </c>
    </row>
    <row r="27" spans="1:11" x14ac:dyDescent="0.25">
      <c r="A27" t="s">
        <v>25</v>
      </c>
      <c r="B27" s="13">
        <v>1410.8</v>
      </c>
      <c r="C27" s="13"/>
      <c r="D27" s="58">
        <v>1410815</v>
      </c>
      <c r="E27" s="56">
        <f t="shared" si="0"/>
        <v>1410.8150000000001</v>
      </c>
      <c r="F27" s="56"/>
      <c r="G27" s="56">
        <f t="shared" si="1"/>
        <v>1.5000000000100044E-2</v>
      </c>
      <c r="I27" s="64">
        <v>1410815</v>
      </c>
      <c r="J27" s="64"/>
      <c r="K27" s="61">
        <f t="shared" si="2"/>
        <v>0</v>
      </c>
    </row>
    <row r="28" spans="1:11" x14ac:dyDescent="0.25">
      <c r="A28" t="s">
        <v>26</v>
      </c>
      <c r="B28" s="13">
        <v>1483.7</v>
      </c>
      <c r="C28" s="13"/>
      <c r="D28" s="58">
        <v>1484980</v>
      </c>
      <c r="E28" s="56">
        <f t="shared" si="0"/>
        <v>1484.98</v>
      </c>
      <c r="F28" s="56"/>
      <c r="G28" s="56">
        <f t="shared" si="1"/>
        <v>1.2799999999999727</v>
      </c>
      <c r="I28" s="64">
        <v>1484980</v>
      </c>
      <c r="J28" s="64"/>
      <c r="K28" s="61">
        <f t="shared" si="2"/>
        <v>0</v>
      </c>
    </row>
    <row r="29" spans="1:11" x14ac:dyDescent="0.25">
      <c r="A29" t="s">
        <v>27</v>
      </c>
      <c r="B29" s="13">
        <v>1556.5</v>
      </c>
      <c r="C29" s="13"/>
      <c r="D29" s="58">
        <v>1567170</v>
      </c>
      <c r="E29" s="56">
        <f t="shared" si="0"/>
        <v>1567.17</v>
      </c>
      <c r="F29" s="56"/>
      <c r="G29" s="56">
        <f t="shared" si="1"/>
        <v>10.670000000000073</v>
      </c>
      <c r="I29" s="64">
        <v>1567170</v>
      </c>
      <c r="J29" s="64"/>
      <c r="K29" s="61">
        <f t="shared" si="2"/>
        <v>0</v>
      </c>
    </row>
    <row r="30" spans="1:11" x14ac:dyDescent="0.25">
      <c r="A30" t="s">
        <v>28</v>
      </c>
      <c r="B30" s="13">
        <v>1432</v>
      </c>
      <c r="C30" s="13"/>
      <c r="D30" s="58">
        <v>1432351</v>
      </c>
      <c r="E30" s="56">
        <f t="shared" si="0"/>
        <v>1432.3510000000001</v>
      </c>
      <c r="F30" s="56"/>
      <c r="G30" s="56">
        <f t="shared" si="1"/>
        <v>0.35100000000011278</v>
      </c>
      <c r="I30" s="64">
        <v>1432351</v>
      </c>
      <c r="J30" s="64"/>
      <c r="K30" s="61">
        <f t="shared" si="2"/>
        <v>0</v>
      </c>
    </row>
    <row r="31" spans="1:11" x14ac:dyDescent="0.25">
      <c r="A31" t="s">
        <v>29</v>
      </c>
      <c r="B31" s="13">
        <v>1443</v>
      </c>
      <c r="C31" s="13"/>
      <c r="D31" s="58">
        <v>1443300</v>
      </c>
      <c r="E31" s="56">
        <f t="shared" si="0"/>
        <v>1443.3</v>
      </c>
      <c r="F31" s="56"/>
      <c r="G31" s="56">
        <f t="shared" si="1"/>
        <v>0.29999999999995453</v>
      </c>
      <c r="I31" s="64">
        <v>1443300</v>
      </c>
      <c r="J31" s="64"/>
      <c r="K31" s="61">
        <f t="shared" si="2"/>
        <v>0</v>
      </c>
    </row>
    <row r="32" spans="1:11" x14ac:dyDescent="0.25">
      <c r="A32" t="s">
        <v>30</v>
      </c>
      <c r="B32" s="13">
        <v>1528.6</v>
      </c>
      <c r="C32" s="13"/>
      <c r="D32" s="58">
        <v>1531300</v>
      </c>
      <c r="E32" s="56">
        <f t="shared" si="0"/>
        <v>1531.3</v>
      </c>
      <c r="F32" s="56"/>
      <c r="G32" s="56">
        <f t="shared" si="1"/>
        <v>2.7000000000000455</v>
      </c>
      <c r="I32" s="64">
        <v>1531300</v>
      </c>
      <c r="J32" s="64"/>
      <c r="K32" s="61">
        <f t="shared" si="2"/>
        <v>0</v>
      </c>
    </row>
    <row r="33" spans="1:11" x14ac:dyDescent="0.25">
      <c r="A33" t="s">
        <v>70</v>
      </c>
      <c r="B33" s="13">
        <v>1748.7</v>
      </c>
      <c r="C33" s="13"/>
      <c r="D33" s="58">
        <v>1752343</v>
      </c>
      <c r="E33" s="56">
        <f t="shared" si="0"/>
        <v>1752.3430000000001</v>
      </c>
      <c r="F33" s="56"/>
      <c r="G33" s="56">
        <f t="shared" si="1"/>
        <v>3.6430000000000291</v>
      </c>
      <c r="I33" s="64">
        <v>1752343</v>
      </c>
      <c r="J33" s="64"/>
      <c r="K33" s="61">
        <f t="shared" si="2"/>
        <v>0</v>
      </c>
    </row>
    <row r="34" spans="1:11" x14ac:dyDescent="0.25">
      <c r="A34" t="s">
        <v>32</v>
      </c>
      <c r="B34" s="13">
        <v>1623.1</v>
      </c>
      <c r="C34" s="13"/>
      <c r="D34" s="58">
        <v>1638895</v>
      </c>
      <c r="E34" s="56">
        <f t="shared" si="0"/>
        <v>1638.895</v>
      </c>
      <c r="F34" s="56"/>
      <c r="G34" s="56">
        <f t="shared" si="1"/>
        <v>15.795000000000073</v>
      </c>
      <c r="I34" s="64">
        <v>1638895</v>
      </c>
      <c r="J34" s="64"/>
      <c r="K34" s="61">
        <f t="shared" si="2"/>
        <v>0</v>
      </c>
    </row>
    <row r="35" spans="1:11" x14ac:dyDescent="0.25">
      <c r="A35" t="s">
        <v>33</v>
      </c>
      <c r="B35" s="13">
        <v>1755.1</v>
      </c>
      <c r="C35" s="13"/>
      <c r="D35" s="58">
        <v>1765815</v>
      </c>
      <c r="E35" s="56">
        <f t="shared" si="0"/>
        <v>1765.8150000000001</v>
      </c>
      <c r="F35" s="56"/>
      <c r="G35" s="56">
        <f t="shared" si="1"/>
        <v>10.715000000000146</v>
      </c>
      <c r="I35" s="64">
        <v>1765815</v>
      </c>
      <c r="J35" s="64"/>
      <c r="K35" s="61">
        <f t="shared" si="2"/>
        <v>0</v>
      </c>
    </row>
    <row r="36" spans="1:11" x14ac:dyDescent="0.25">
      <c r="A36" t="s">
        <v>34</v>
      </c>
      <c r="B36" s="13">
        <v>1830.8</v>
      </c>
      <c r="C36" s="13"/>
      <c r="D36" s="58">
        <v>1840697</v>
      </c>
      <c r="E36" s="56">
        <f t="shared" si="0"/>
        <v>1840.6969999999999</v>
      </c>
      <c r="F36" s="56"/>
      <c r="G36" s="56">
        <f t="shared" si="1"/>
        <v>9.8969999999999345</v>
      </c>
      <c r="I36" s="64">
        <v>1840697</v>
      </c>
      <c r="J36" s="64"/>
      <c r="K36" s="61">
        <f t="shared" si="2"/>
        <v>0</v>
      </c>
    </row>
    <row r="37" spans="1:11" x14ac:dyDescent="0.25">
      <c r="A37" t="s">
        <v>35</v>
      </c>
      <c r="B37" s="13">
        <v>1973.1</v>
      </c>
      <c r="C37" s="13"/>
      <c r="D37" s="58">
        <v>1986447</v>
      </c>
      <c r="E37" s="56">
        <f t="shared" si="0"/>
        <v>1986.4469999999999</v>
      </c>
      <c r="F37" s="56"/>
      <c r="G37" s="56">
        <f t="shared" si="1"/>
        <v>13.34699999999998</v>
      </c>
      <c r="I37" s="64">
        <v>1986447</v>
      </c>
      <c r="J37" s="64"/>
      <c r="K37" s="61">
        <f t="shared" si="2"/>
        <v>0</v>
      </c>
    </row>
    <row r="38" spans="1:11" x14ac:dyDescent="0.25">
      <c r="A38" t="s">
        <v>36</v>
      </c>
      <c r="B38" s="13">
        <v>2198.1</v>
      </c>
      <c r="C38" s="13"/>
      <c r="D38" s="58">
        <v>2211078</v>
      </c>
      <c r="E38" s="56">
        <f t="shared" si="0"/>
        <v>2211.078</v>
      </c>
      <c r="F38" s="56"/>
      <c r="G38" s="56">
        <f t="shared" si="1"/>
        <v>12.978000000000065</v>
      </c>
      <c r="I38" s="64">
        <v>2211078</v>
      </c>
      <c r="J38" s="64"/>
      <c r="K38" s="61">
        <f t="shared" si="2"/>
        <v>0</v>
      </c>
    </row>
    <row r="39" spans="1:11" x14ac:dyDescent="0.25">
      <c r="A39" t="s">
        <v>41</v>
      </c>
      <c r="B39" s="13">
        <v>2683.5008565621001</v>
      </c>
      <c r="C39" s="13"/>
      <c r="D39" s="58">
        <v>2619035.6794696003</v>
      </c>
      <c r="E39" s="56">
        <f t="shared" si="0"/>
        <v>2619.0356794696004</v>
      </c>
      <c r="F39" s="56"/>
      <c r="G39" s="56">
        <f t="shared" si="1"/>
        <v>-64.465177092499744</v>
      </c>
      <c r="I39" s="64">
        <v>2619035.6794696003</v>
      </c>
      <c r="J39" s="64"/>
      <c r="K39" s="61">
        <f t="shared" si="2"/>
        <v>0</v>
      </c>
    </row>
    <row r="40" spans="1:11" x14ac:dyDescent="0.25">
      <c r="A40" t="s">
        <v>37</v>
      </c>
      <c r="B40" s="13">
        <v>2977.9141820124996</v>
      </c>
      <c r="C40" s="13"/>
      <c r="D40" s="58">
        <v>2879570.7135016001</v>
      </c>
      <c r="E40" s="56">
        <f t="shared" si="0"/>
        <v>2879.5707135016</v>
      </c>
      <c r="F40" s="56"/>
      <c r="G40" s="56">
        <f t="shared" si="1"/>
        <v>-98.343468510899584</v>
      </c>
      <c r="I40" s="64">
        <v>2879570.7135016001</v>
      </c>
      <c r="J40" s="64"/>
      <c r="K40" s="61">
        <f t="shared" si="2"/>
        <v>0</v>
      </c>
    </row>
    <row r="41" spans="1:11" x14ac:dyDescent="0.25">
      <c r="A41" t="s">
        <v>38</v>
      </c>
      <c r="B41" s="13">
        <v>3115.0166879971998</v>
      </c>
      <c r="C41" s="13"/>
      <c r="D41" s="58">
        <v>3047113.5083008995</v>
      </c>
      <c r="E41" s="56">
        <f t="shared" si="0"/>
        <v>3047.1135083008994</v>
      </c>
      <c r="F41" s="56"/>
      <c r="G41" s="56">
        <f t="shared" si="1"/>
        <v>-67.903179696300413</v>
      </c>
      <c r="I41" s="64">
        <v>3047113.5083008995</v>
      </c>
      <c r="J41" s="64"/>
      <c r="K41" s="61">
        <f t="shared" si="2"/>
        <v>0</v>
      </c>
    </row>
    <row r="42" spans="1:11" x14ac:dyDescent="0.25">
      <c r="A42" t="s">
        <v>39</v>
      </c>
      <c r="B42" s="13">
        <v>3737.3768989748</v>
      </c>
      <c r="C42" s="13"/>
      <c r="D42" s="58">
        <v>3709185.6654379</v>
      </c>
      <c r="E42" s="56">
        <f t="shared" si="0"/>
        <v>3709.1856654378998</v>
      </c>
      <c r="F42" s="56"/>
      <c r="G42" s="56">
        <f t="shared" si="1"/>
        <v>-28.191233536900199</v>
      </c>
      <c r="I42" s="64">
        <v>3709185.6654379</v>
      </c>
      <c r="J42" s="64"/>
      <c r="K42" s="61">
        <f t="shared" si="2"/>
        <v>0</v>
      </c>
    </row>
    <row r="43" spans="1:11" x14ac:dyDescent="0.25">
      <c r="A43" t="s">
        <v>1</v>
      </c>
      <c r="B43" s="13">
        <v>3877.7029709799999</v>
      </c>
      <c r="C43" s="13"/>
      <c r="D43" s="58">
        <v>3813224.4176155003</v>
      </c>
      <c r="E43" s="56">
        <f t="shared" si="0"/>
        <v>3813.2244176155004</v>
      </c>
      <c r="F43" s="56"/>
      <c r="G43" s="56">
        <f t="shared" si="1"/>
        <v>-64.478553364499476</v>
      </c>
      <c r="I43" s="64">
        <v>3813224.4176155003</v>
      </c>
      <c r="J43" s="64"/>
      <c r="K43" s="61">
        <f t="shared" si="2"/>
        <v>0</v>
      </c>
    </row>
    <row r="44" spans="1:11" x14ac:dyDescent="0.25">
      <c r="A44" t="s">
        <v>2</v>
      </c>
      <c r="B44" s="13">
        <v>4303.1378796107001</v>
      </c>
      <c r="C44" s="13"/>
      <c r="D44" s="58">
        <v>4259638.4054260999</v>
      </c>
      <c r="E44" s="56">
        <f t="shared" si="0"/>
        <v>4259.6384054260998</v>
      </c>
      <c r="F44" s="56"/>
      <c r="G44" s="56">
        <f t="shared" si="1"/>
        <v>-43.499474184600331</v>
      </c>
      <c r="I44" s="64">
        <v>4259638.4054260999</v>
      </c>
      <c r="J44" s="64"/>
      <c r="K44" s="61">
        <f t="shared" si="2"/>
        <v>0</v>
      </c>
    </row>
    <row r="45" spans="1:11" x14ac:dyDescent="0.25">
      <c r="A45" t="s">
        <v>3</v>
      </c>
      <c r="B45" s="13">
        <v>4825.1585243998998</v>
      </c>
      <c r="C45" s="13"/>
      <c r="D45" s="59">
        <v>4764999.5516866995</v>
      </c>
      <c r="E45" s="56">
        <f t="shared" si="0"/>
        <v>4764.9995516866993</v>
      </c>
      <c r="F45" s="56"/>
      <c r="G45" s="56">
        <f t="shared" si="1"/>
        <v>-60.158972713200455</v>
      </c>
      <c r="I45" s="63">
        <v>4764999.5516866995</v>
      </c>
      <c r="J45" s="63"/>
      <c r="K45" s="61">
        <f t="shared" si="2"/>
        <v>0</v>
      </c>
    </row>
    <row r="46" spans="1:11" x14ac:dyDescent="0.25">
      <c r="A46" t="s">
        <v>5</v>
      </c>
      <c r="B46" s="15">
        <v>5053.4743107269996</v>
      </c>
      <c r="C46" s="15"/>
      <c r="D46" s="59">
        <v>4856456.7193147</v>
      </c>
      <c r="E46" s="56">
        <f t="shared" si="0"/>
        <v>4856.4567193147004</v>
      </c>
      <c r="F46" s="56"/>
      <c r="G46" s="56">
        <f t="shared" si="1"/>
        <v>-197.01759141229923</v>
      </c>
      <c r="I46" s="63">
        <v>4856456.7193147</v>
      </c>
      <c r="J46" s="63"/>
      <c r="K46" s="61">
        <f t="shared" si="2"/>
        <v>0</v>
      </c>
    </row>
    <row r="47" spans="1:11" x14ac:dyDescent="0.25">
      <c r="A47" t="s">
        <v>4</v>
      </c>
      <c r="B47" s="15">
        <v>5048.8999999999996</v>
      </c>
      <c r="C47" s="15"/>
      <c r="D47" s="59">
        <v>5051533.3208062984</v>
      </c>
      <c r="E47" s="56">
        <f t="shared" si="0"/>
        <v>5051.5333208062984</v>
      </c>
      <c r="F47" s="56"/>
      <c r="G47" s="56">
        <f t="shared" si="1"/>
        <v>2.6333208062987978</v>
      </c>
      <c r="I47" s="63">
        <v>5051533.3208062984</v>
      </c>
      <c r="J47" s="63"/>
      <c r="K47" s="61">
        <f t="shared" si="2"/>
        <v>0</v>
      </c>
    </row>
    <row r="48" spans="1:11" x14ac:dyDescent="0.25">
      <c r="A48" t="s">
        <v>45</v>
      </c>
      <c r="B48" s="15">
        <v>5027.8999999999996</v>
      </c>
      <c r="C48" s="15"/>
      <c r="D48" s="59">
        <v>5054031.8415688016</v>
      </c>
      <c r="E48" s="56">
        <f t="shared" si="0"/>
        <v>5054.0318415688016</v>
      </c>
      <c r="F48" s="56"/>
      <c r="G48" s="56">
        <f t="shared" si="1"/>
        <v>26.131841568801974</v>
      </c>
      <c r="I48" s="63">
        <v>5054031.8415688016</v>
      </c>
      <c r="J48" s="63"/>
      <c r="K48" s="61">
        <f t="shared" si="2"/>
        <v>0</v>
      </c>
    </row>
    <row r="49" spans="1:11" x14ac:dyDescent="0.25">
      <c r="A49" t="s">
        <v>44</v>
      </c>
      <c r="B49" s="15">
        <v>4052</v>
      </c>
      <c r="C49" s="15"/>
      <c r="D49" s="59">
        <v>4209509</v>
      </c>
      <c r="E49" s="56">
        <f t="shared" si="0"/>
        <v>4209.509</v>
      </c>
      <c r="F49" s="56"/>
      <c r="G49" s="56">
        <f t="shared" si="1"/>
        <v>157.50900000000001</v>
      </c>
      <c r="H49" s="60"/>
      <c r="I49" s="63">
        <v>4032557.5406946074</v>
      </c>
      <c r="J49" s="63"/>
      <c r="K49" s="61">
        <f t="shared" si="2"/>
        <v>176.95145930539258</v>
      </c>
    </row>
    <row r="50" spans="1:11" x14ac:dyDescent="0.25">
      <c r="A50" t="s">
        <v>43</v>
      </c>
      <c r="B50" s="15">
        <v>3828</v>
      </c>
      <c r="C50" s="15"/>
      <c r="D50" s="59">
        <v>4033530</v>
      </c>
      <c r="E50" s="56">
        <f t="shared" si="0"/>
        <v>4033.53</v>
      </c>
      <c r="F50" s="56"/>
      <c r="G50" s="56">
        <f t="shared" si="1"/>
        <v>205.5300000000002</v>
      </c>
      <c r="H50" s="60"/>
    </row>
    <row r="51" spans="1:11" x14ac:dyDescent="0.25">
      <c r="B51" s="4"/>
      <c r="C51" s="4"/>
    </row>
    <row r="52" spans="1:11" x14ac:dyDescent="0.25">
      <c r="B52" s="4"/>
      <c r="C52" s="4"/>
    </row>
    <row r="53" spans="1:11" x14ac:dyDescent="0.25">
      <c r="B53" s="4"/>
      <c r="C53" s="4"/>
    </row>
    <row r="54" spans="1:11" x14ac:dyDescent="0.25">
      <c r="B54" s="4"/>
      <c r="C54" s="4"/>
    </row>
    <row r="55" spans="1:11" x14ac:dyDescent="0.25">
      <c r="B55" s="4"/>
      <c r="C55" s="4"/>
    </row>
    <row r="56" spans="1:11" x14ac:dyDescent="0.25">
      <c r="B56" s="4"/>
      <c r="C56" s="4"/>
    </row>
    <row r="57" spans="1:11" x14ac:dyDescent="0.25">
      <c r="B57" s="4"/>
      <c r="C57" s="4"/>
    </row>
    <row r="58" spans="1:11" x14ac:dyDescent="0.25">
      <c r="B58" s="4"/>
      <c r="C58" s="4"/>
    </row>
    <row r="59" spans="1:11" x14ac:dyDescent="0.25">
      <c r="B59" s="4"/>
      <c r="C59" s="4"/>
    </row>
    <row r="60" spans="1:11" x14ac:dyDescent="0.25">
      <c r="B60" s="4"/>
      <c r="C60" s="4"/>
    </row>
    <row r="61" spans="1:11" x14ac:dyDescent="0.25">
      <c r="B61" s="4"/>
      <c r="C61" s="4"/>
    </row>
    <row r="62" spans="1:11" x14ac:dyDescent="0.25">
      <c r="B62" s="4"/>
      <c r="C62" s="4"/>
    </row>
    <row r="63" spans="1:11" x14ac:dyDescent="0.25">
      <c r="B63" s="4"/>
      <c r="C63" s="4"/>
    </row>
    <row r="64" spans="1:11" x14ac:dyDescent="0.25">
      <c r="B64" s="4"/>
      <c r="C64" s="4"/>
    </row>
    <row r="65" spans="2:3" x14ac:dyDescent="0.25">
      <c r="B65" s="4"/>
      <c r="C65" s="4"/>
    </row>
    <row r="66" spans="2:3" x14ac:dyDescent="0.25">
      <c r="B66" s="4"/>
      <c r="C66" s="4"/>
    </row>
    <row r="67" spans="2:3" x14ac:dyDescent="0.25">
      <c r="B67" s="4"/>
      <c r="C67" s="4"/>
    </row>
    <row r="68" spans="2:3" x14ac:dyDescent="0.25">
      <c r="B68" s="4"/>
      <c r="C68" s="4"/>
    </row>
    <row r="69" spans="2:3" x14ac:dyDescent="0.25">
      <c r="B69" s="4"/>
      <c r="C69" s="4"/>
    </row>
    <row r="70" spans="2:3" x14ac:dyDescent="0.25">
      <c r="B70" s="4"/>
      <c r="C70" s="4"/>
    </row>
    <row r="71" spans="2:3" x14ac:dyDescent="0.25">
      <c r="B71" s="4"/>
      <c r="C71" s="4"/>
    </row>
    <row r="72" spans="2:3" x14ac:dyDescent="0.25">
      <c r="B72" s="4"/>
      <c r="C72" s="4"/>
    </row>
    <row r="73" spans="2:3" x14ac:dyDescent="0.25">
      <c r="B73" s="4"/>
      <c r="C73" s="4"/>
    </row>
    <row r="74" spans="2:3" x14ac:dyDescent="0.25">
      <c r="B74" s="4"/>
      <c r="C74" s="4"/>
    </row>
    <row r="75" spans="2:3" x14ac:dyDescent="0.25">
      <c r="B75" s="4"/>
      <c r="C75" s="4"/>
    </row>
    <row r="76" spans="2:3" x14ac:dyDescent="0.25">
      <c r="B76" s="4"/>
      <c r="C76" s="4"/>
    </row>
    <row r="77" spans="2:3" x14ac:dyDescent="0.25">
      <c r="B77" s="4"/>
      <c r="C77" s="4"/>
    </row>
    <row r="78" spans="2:3" x14ac:dyDescent="0.25">
      <c r="B78" s="4"/>
      <c r="C78" s="4"/>
    </row>
    <row r="79" spans="2:3" x14ac:dyDescent="0.25">
      <c r="B79" s="4"/>
      <c r="C79" s="4"/>
    </row>
    <row r="80" spans="2:3" x14ac:dyDescent="0.25">
      <c r="B80" s="4"/>
      <c r="C80" s="4"/>
    </row>
    <row r="81" spans="2:3" x14ac:dyDescent="0.25">
      <c r="B81" s="4"/>
      <c r="C81" s="4"/>
    </row>
    <row r="82" spans="2:3" x14ac:dyDescent="0.25">
      <c r="B82" s="4"/>
      <c r="C82" s="4"/>
    </row>
    <row r="83" spans="2:3" x14ac:dyDescent="0.25">
      <c r="B83" s="4"/>
      <c r="C83" s="4"/>
    </row>
    <row r="84" spans="2:3" x14ac:dyDescent="0.25">
      <c r="B84" s="4"/>
      <c r="C84" s="4"/>
    </row>
    <row r="85" spans="2:3" x14ac:dyDescent="0.25">
      <c r="B85" s="4"/>
      <c r="C85" s="4"/>
    </row>
    <row r="86" spans="2:3" x14ac:dyDescent="0.25">
      <c r="B86" s="4"/>
      <c r="C86" s="4"/>
    </row>
    <row r="87" spans="2:3" x14ac:dyDescent="0.25">
      <c r="B87" s="4"/>
      <c r="C87" s="4"/>
    </row>
    <row r="88" spans="2:3" x14ac:dyDescent="0.25">
      <c r="B88" s="4"/>
      <c r="C88" s="4"/>
    </row>
    <row r="89" spans="2:3" x14ac:dyDescent="0.25">
      <c r="B89" s="4"/>
      <c r="C89" s="4"/>
    </row>
    <row r="90" spans="2:3" x14ac:dyDescent="0.25">
      <c r="B90" s="4"/>
      <c r="C90" s="4"/>
    </row>
    <row r="91" spans="2:3" x14ac:dyDescent="0.25">
      <c r="B91" s="4"/>
      <c r="C91" s="4"/>
    </row>
    <row r="92" spans="2:3" x14ac:dyDescent="0.25">
      <c r="B92" s="4"/>
      <c r="C92" s="4"/>
    </row>
    <row r="93" spans="2:3" x14ac:dyDescent="0.25">
      <c r="B93" s="4"/>
      <c r="C93" s="4"/>
    </row>
    <row r="94" spans="2:3" x14ac:dyDescent="0.25">
      <c r="B94" s="4"/>
      <c r="C94" s="4"/>
    </row>
    <row r="95" spans="2:3" x14ac:dyDescent="0.25">
      <c r="B95" s="4"/>
      <c r="C95" s="4"/>
    </row>
    <row r="96" spans="2:3" x14ac:dyDescent="0.25">
      <c r="B96" s="4"/>
      <c r="C96" s="4"/>
    </row>
    <row r="97" spans="2:3" x14ac:dyDescent="0.25">
      <c r="B97" s="4"/>
      <c r="C97" s="4"/>
    </row>
    <row r="98" spans="2:3" x14ac:dyDescent="0.25">
      <c r="B98" s="4"/>
      <c r="C98" s="4"/>
    </row>
    <row r="99" spans="2:3" x14ac:dyDescent="0.25">
      <c r="B99" s="4"/>
      <c r="C99" s="4"/>
    </row>
    <row r="100" spans="2:3" x14ac:dyDescent="0.25">
      <c r="B100" s="4"/>
      <c r="C100" s="4"/>
    </row>
    <row r="101" spans="2:3" x14ac:dyDescent="0.25">
      <c r="B101" s="4"/>
      <c r="C101" s="4"/>
    </row>
    <row r="102" spans="2:3" x14ac:dyDescent="0.25">
      <c r="B102" s="4"/>
      <c r="C102" s="4"/>
    </row>
    <row r="103" spans="2:3" x14ac:dyDescent="0.25">
      <c r="B103" s="4"/>
      <c r="C103" s="4"/>
    </row>
    <row r="104" spans="2:3" x14ac:dyDescent="0.25">
      <c r="B104" s="4"/>
      <c r="C104" s="4"/>
    </row>
    <row r="105" spans="2:3" x14ac:dyDescent="0.25">
      <c r="B105" s="4"/>
      <c r="C105" s="4"/>
    </row>
    <row r="106" spans="2:3" x14ac:dyDescent="0.25">
      <c r="B106" s="4"/>
      <c r="C106" s="4"/>
    </row>
    <row r="107" spans="2:3" x14ac:dyDescent="0.25">
      <c r="B107" s="4"/>
      <c r="C107" s="4"/>
    </row>
    <row r="108" spans="2:3" x14ac:dyDescent="0.25">
      <c r="B108" s="4"/>
      <c r="C108" s="4"/>
    </row>
    <row r="109" spans="2:3" x14ac:dyDescent="0.25">
      <c r="B109" s="4"/>
      <c r="C109" s="4"/>
    </row>
    <row r="110" spans="2:3" x14ac:dyDescent="0.25">
      <c r="B110" s="4"/>
      <c r="C110" s="4"/>
    </row>
    <row r="111" spans="2:3" x14ac:dyDescent="0.25">
      <c r="B111" s="4"/>
      <c r="C111" s="4"/>
    </row>
  </sheetData>
  <mergeCells count="2">
    <mergeCell ref="D5:E5"/>
    <mergeCell ref="D6:E6"/>
  </mergeCells>
  <hyperlinks>
    <hyperlink ref="D6"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opLeftCell="A43" workbookViewId="0">
      <selection activeCell="C4" sqref="C4"/>
    </sheetView>
  </sheetViews>
  <sheetFormatPr defaultRowHeight="15" x14ac:dyDescent="0.25"/>
  <cols>
    <col min="1" max="1" width="9.7109375" bestFit="1" customWidth="1"/>
    <col min="2" max="2" width="11.85546875" bestFit="1" customWidth="1"/>
    <col min="3" max="3" width="16.7109375" customWidth="1"/>
    <col min="4" max="4" width="12.7109375" customWidth="1"/>
    <col min="7" max="7" width="10.140625" bestFit="1" customWidth="1"/>
    <col min="9" max="9" width="3.140625" customWidth="1"/>
    <col min="11" max="11" width="12.42578125" customWidth="1"/>
  </cols>
  <sheetData>
    <row r="1" spans="1:4" x14ac:dyDescent="0.25">
      <c r="A1" t="s">
        <v>91</v>
      </c>
    </row>
    <row r="3" spans="1:4" ht="45" x14ac:dyDescent="0.25">
      <c r="A3" s="7"/>
      <c r="B3" s="17" t="s">
        <v>92</v>
      </c>
      <c r="C3" s="17" t="s">
        <v>93</v>
      </c>
      <c r="D3" s="17" t="s">
        <v>94</v>
      </c>
    </row>
    <row r="4" spans="1:4" x14ac:dyDescent="0.25">
      <c r="A4" s="19" t="s">
        <v>136</v>
      </c>
      <c r="B4" s="12">
        <f>'ODA-GNI time series'!B21</f>
        <v>176.7</v>
      </c>
      <c r="C4" s="53">
        <v>7389</v>
      </c>
      <c r="D4" s="2">
        <f t="shared" ref="D4:D28" si="0">B4/C4</f>
        <v>2.3913926106374338E-2</v>
      </c>
    </row>
    <row r="5" spans="1:4" x14ac:dyDescent="0.25">
      <c r="A5" s="19" t="s">
        <v>66</v>
      </c>
      <c r="B5" s="12">
        <f>'ODA-GNI time series'!B22</f>
        <v>200.5</v>
      </c>
      <c r="C5" s="53">
        <v>8249</v>
      </c>
      <c r="D5" s="2">
        <f t="shared" si="0"/>
        <v>2.4305976481997817E-2</v>
      </c>
    </row>
    <row r="6" spans="1:4" x14ac:dyDescent="0.25">
      <c r="A6" s="19" t="s">
        <v>67</v>
      </c>
      <c r="B6" s="12">
        <f>'ODA-GNI time series'!B23</f>
        <v>219.2</v>
      </c>
      <c r="C6" s="53">
        <v>9388</v>
      </c>
      <c r="D6" s="2">
        <f t="shared" si="0"/>
        <v>2.3348956114188326E-2</v>
      </c>
    </row>
    <row r="7" spans="1:4" x14ac:dyDescent="0.25">
      <c r="A7" s="19" t="s">
        <v>68</v>
      </c>
      <c r="B7" s="12">
        <f>'ODA-GNI time series'!B24</f>
        <v>264.89999999999998</v>
      </c>
      <c r="C7" s="53">
        <v>11078</v>
      </c>
      <c r="D7" s="2">
        <f t="shared" si="0"/>
        <v>2.3912258530420651E-2</v>
      </c>
    </row>
    <row r="8" spans="1:4" x14ac:dyDescent="0.25">
      <c r="A8" s="19" t="s">
        <v>6</v>
      </c>
      <c r="B8" s="12">
        <f>'ODA-GNI time series'!B25</f>
        <v>334.6</v>
      </c>
      <c r="C8" s="53">
        <v>15463</v>
      </c>
      <c r="D8" s="2">
        <f t="shared" si="0"/>
        <v>2.1638750565866911E-2</v>
      </c>
    </row>
    <row r="9" spans="1:4" x14ac:dyDescent="0.25">
      <c r="A9" s="19" t="s">
        <v>7</v>
      </c>
      <c r="B9" s="12">
        <f>'ODA-GNI time series'!B26</f>
        <v>356</v>
      </c>
      <c r="C9" s="53">
        <v>20225</v>
      </c>
      <c r="D9" s="2">
        <f t="shared" si="0"/>
        <v>1.7601977750309025E-2</v>
      </c>
    </row>
    <row r="10" spans="1:4" x14ac:dyDescent="0.25">
      <c r="A10" s="19" t="s">
        <v>8</v>
      </c>
      <c r="B10" s="12">
        <f>'ODA-GNI time series'!B27</f>
        <v>386.2</v>
      </c>
      <c r="C10" s="53">
        <v>23157</v>
      </c>
      <c r="D10" s="2">
        <f t="shared" si="0"/>
        <v>1.6677462538325343E-2</v>
      </c>
    </row>
    <row r="11" spans="1:4" x14ac:dyDescent="0.25">
      <c r="A11" s="19" t="s">
        <v>9</v>
      </c>
      <c r="B11" s="12">
        <f>'ODA-GNI time series'!B28</f>
        <v>426.1</v>
      </c>
      <c r="C11" s="53">
        <v>26057</v>
      </c>
      <c r="D11" s="2">
        <f t="shared" si="0"/>
        <v>1.6352611582300343E-2</v>
      </c>
    </row>
    <row r="12" spans="1:4" x14ac:dyDescent="0.25">
      <c r="A12" s="19" t="s">
        <v>10</v>
      </c>
      <c r="B12" s="12">
        <f>'ODA-GNI time series'!B29</f>
        <v>468.4</v>
      </c>
      <c r="C12" s="53">
        <v>28272</v>
      </c>
      <c r="D12" s="2">
        <f t="shared" si="0"/>
        <v>1.6567628749292587E-2</v>
      </c>
    </row>
    <row r="13" spans="1:4" x14ac:dyDescent="0.25">
      <c r="A13" s="19" t="s">
        <v>11</v>
      </c>
      <c r="B13" s="12">
        <f>'ODA-GNI time series'!B30</f>
        <v>508.7</v>
      </c>
      <c r="C13" s="53">
        <v>31642</v>
      </c>
      <c r="D13" s="2">
        <f t="shared" si="0"/>
        <v>1.6076733455533784E-2</v>
      </c>
    </row>
    <row r="14" spans="1:4" x14ac:dyDescent="0.25">
      <c r="A14" t="s">
        <v>12</v>
      </c>
      <c r="B14" s="12">
        <f>'ODA-GNI time series'!B31</f>
        <v>568</v>
      </c>
      <c r="C14" s="53">
        <v>36176</v>
      </c>
      <c r="D14" s="2">
        <f t="shared" si="0"/>
        <v>1.5701017249004866E-2</v>
      </c>
    </row>
    <row r="15" spans="1:4" x14ac:dyDescent="0.25">
      <c r="A15" t="s">
        <v>13</v>
      </c>
      <c r="B15" s="12">
        <f>'ODA-GNI time series'!B32</f>
        <v>658</v>
      </c>
      <c r="C15" s="53">
        <v>41151</v>
      </c>
      <c r="D15" s="2">
        <f t="shared" si="0"/>
        <v>1.5989890889650311E-2</v>
      </c>
    </row>
    <row r="16" spans="1:4" x14ac:dyDescent="0.25">
      <c r="A16" t="s">
        <v>14</v>
      </c>
      <c r="B16" s="12">
        <f>'ODA-GNI time series'!B33</f>
        <v>744.6</v>
      </c>
      <c r="C16" s="53">
        <v>48810</v>
      </c>
      <c r="D16" s="2">
        <f t="shared" si="0"/>
        <v>1.5255070682237247E-2</v>
      </c>
    </row>
    <row r="17" spans="1:11" x14ac:dyDescent="0.25">
      <c r="A17" t="s">
        <v>15</v>
      </c>
      <c r="B17" s="12">
        <f>'ODA-GNI time series'!B34</f>
        <v>931.8</v>
      </c>
      <c r="C17" s="53">
        <v>56990</v>
      </c>
      <c r="D17" s="2">
        <f t="shared" si="0"/>
        <v>1.6350236883663799E-2</v>
      </c>
    </row>
    <row r="18" spans="1:11" x14ac:dyDescent="0.25">
      <c r="A18" t="s">
        <v>16</v>
      </c>
      <c r="B18" s="12">
        <f>'ODA-GNI time series'!B35</f>
        <v>1011.403</v>
      </c>
      <c r="C18" s="53">
        <v>64853</v>
      </c>
      <c r="D18" s="2">
        <f t="shared" si="0"/>
        <v>1.5595315559804481E-2</v>
      </c>
    </row>
    <row r="19" spans="1:11" x14ac:dyDescent="0.25">
      <c r="A19" t="s">
        <v>17</v>
      </c>
      <c r="B19" s="12">
        <f>'ODA-GNI time series'!B36</f>
        <v>1030.9639999999999</v>
      </c>
      <c r="C19" s="53">
        <v>71328</v>
      </c>
      <c r="D19" s="2">
        <f t="shared" si="0"/>
        <v>1.4453847016599372E-2</v>
      </c>
    </row>
    <row r="20" spans="1:11" x14ac:dyDescent="0.25">
      <c r="A20" t="s">
        <v>18</v>
      </c>
      <c r="B20" s="12">
        <f>'ODA-GNI time series'!B37</f>
        <v>975.61599999999999</v>
      </c>
      <c r="C20" s="53">
        <v>77158</v>
      </c>
      <c r="D20" s="2">
        <f t="shared" si="0"/>
        <v>1.2644392026750304E-2</v>
      </c>
    </row>
    <row r="21" spans="1:11" x14ac:dyDescent="0.25">
      <c r="A21" t="s">
        <v>19</v>
      </c>
      <c r="B21" s="12">
        <f>'ODA-GNI time series'!B38</f>
        <v>1019.561</v>
      </c>
      <c r="C21" s="53">
        <v>82039</v>
      </c>
      <c r="D21" s="2">
        <f t="shared" si="0"/>
        <v>1.2427759967820183E-2</v>
      </c>
    </row>
    <row r="22" spans="1:11" x14ac:dyDescent="0.25">
      <c r="A22" t="s">
        <v>20</v>
      </c>
      <c r="B22" s="12">
        <f>'ODA-GNI time series'!B39</f>
        <v>1194.6289999999999</v>
      </c>
      <c r="C22" s="53">
        <v>85326</v>
      </c>
      <c r="D22" s="2">
        <f t="shared" si="0"/>
        <v>1.400076178421583E-2</v>
      </c>
    </row>
    <row r="23" spans="1:11" x14ac:dyDescent="0.25">
      <c r="A23" t="s">
        <v>21</v>
      </c>
      <c r="B23" s="12">
        <f>'ODA-GNI time series'!B40</f>
        <v>1173.8019999999999</v>
      </c>
      <c r="C23" s="53">
        <v>92684</v>
      </c>
      <c r="D23" s="2">
        <f t="shared" si="0"/>
        <v>1.2664559147209873E-2</v>
      </c>
    </row>
    <row r="24" spans="1:11" x14ac:dyDescent="0.25">
      <c r="A24" t="s">
        <v>22</v>
      </c>
      <c r="B24" s="12">
        <f>'ODA-GNI time series'!B41</f>
        <v>1261.04</v>
      </c>
      <c r="C24" s="53">
        <v>100665</v>
      </c>
      <c r="D24" s="2">
        <f t="shared" si="0"/>
        <v>1.2527094819450652E-2</v>
      </c>
    </row>
    <row r="25" spans="1:11" x14ac:dyDescent="0.25">
      <c r="A25" t="s">
        <v>23</v>
      </c>
      <c r="B25" s="12">
        <f>'ODA-GNI time series'!B42</f>
        <v>1330.2629999999999</v>
      </c>
      <c r="C25" s="53">
        <v>108472</v>
      </c>
      <c r="D25" s="2">
        <f t="shared" si="0"/>
        <v>1.2263653293015708E-2</v>
      </c>
    </row>
    <row r="26" spans="1:11" x14ac:dyDescent="0.25">
      <c r="A26" t="s">
        <v>24</v>
      </c>
      <c r="B26" s="12">
        <f>'ODA-GNI time series'!B43</f>
        <v>1386.145</v>
      </c>
      <c r="C26" s="53">
        <v>115751</v>
      </c>
      <c r="D26" s="2">
        <f t="shared" si="0"/>
        <v>1.1975231315496195E-2</v>
      </c>
    </row>
    <row r="27" spans="1:11" x14ac:dyDescent="0.25">
      <c r="A27" t="s">
        <v>25</v>
      </c>
      <c r="B27" s="12">
        <f>'ODA-GNI time series'!B44</f>
        <v>1410.8150000000001</v>
      </c>
      <c r="C27" s="53">
        <v>122009</v>
      </c>
      <c r="D27" s="2">
        <f t="shared" si="0"/>
        <v>1.156320435377718E-2</v>
      </c>
    </row>
    <row r="28" spans="1:11" x14ac:dyDescent="0.25">
      <c r="A28" t="s">
        <v>26</v>
      </c>
      <c r="B28" s="12">
        <f>'ODA-GNI time series'!B45</f>
        <v>1484.98</v>
      </c>
      <c r="C28" s="53">
        <v>127619</v>
      </c>
      <c r="D28" s="2">
        <f t="shared" si="0"/>
        <v>1.1636041655239423E-2</v>
      </c>
    </row>
    <row r="29" spans="1:11" x14ac:dyDescent="0.25">
      <c r="A29" t="s">
        <v>95</v>
      </c>
      <c r="B29" s="12">
        <f>'ODA-GNI time series'!B46</f>
        <v>1567.17</v>
      </c>
      <c r="C29" s="12">
        <v>135538</v>
      </c>
      <c r="D29" s="2">
        <f>B29/C29</f>
        <v>1.1562587613805722E-2</v>
      </c>
      <c r="E29" s="3"/>
      <c r="F29" s="3"/>
      <c r="G29" s="6"/>
      <c r="H29" s="12"/>
      <c r="K29" s="12"/>
    </row>
    <row r="30" spans="1:11" x14ac:dyDescent="0.25">
      <c r="A30" t="s">
        <v>96</v>
      </c>
      <c r="B30" s="12">
        <f>'ODA-GNI time series'!B47</f>
        <v>1432.3510000000001</v>
      </c>
      <c r="C30" s="12">
        <v>139689</v>
      </c>
      <c r="D30" s="2">
        <f t="shared" ref="D30:D55" si="1">B30/C30</f>
        <v>1.0253856781851112E-2</v>
      </c>
      <c r="E30" s="3"/>
      <c r="F30" s="3"/>
      <c r="G30" s="6"/>
      <c r="H30" s="12"/>
      <c r="K30" s="12"/>
    </row>
    <row r="31" spans="1:11" x14ac:dyDescent="0.25">
      <c r="A31" t="s">
        <v>97</v>
      </c>
      <c r="B31" s="12">
        <f>'ODA-GNI time series'!B48</f>
        <v>1443.3</v>
      </c>
      <c r="C31" s="12">
        <v>140587</v>
      </c>
      <c r="D31" s="2">
        <f t="shared" si="1"/>
        <v>1.0266240833078449E-2</v>
      </c>
      <c r="E31" s="3"/>
      <c r="F31" s="3"/>
      <c r="G31" s="30" t="s">
        <v>141</v>
      </c>
      <c r="H31" s="31" t="s">
        <v>142</v>
      </c>
      <c r="I31" s="26"/>
      <c r="J31" s="26" t="s">
        <v>141</v>
      </c>
      <c r="K31" s="31" t="s">
        <v>142</v>
      </c>
    </row>
    <row r="32" spans="1:11" x14ac:dyDescent="0.25">
      <c r="A32" t="s">
        <v>98</v>
      </c>
      <c r="B32" s="12">
        <f>'ODA-GNI time series'!B49</f>
        <v>1531.3</v>
      </c>
      <c r="C32" s="12">
        <v>148175</v>
      </c>
      <c r="D32" s="2">
        <f t="shared" si="1"/>
        <v>1.0334401889657499E-2</v>
      </c>
      <c r="E32" s="3"/>
      <c r="F32" s="3"/>
      <c r="G32" s="92" t="s">
        <v>157</v>
      </c>
      <c r="H32" s="92"/>
      <c r="I32" s="26"/>
      <c r="J32" s="93" t="s">
        <v>143</v>
      </c>
      <c r="K32" s="93"/>
    </row>
    <row r="33" spans="1:11" x14ac:dyDescent="0.25">
      <c r="A33" t="s">
        <v>31</v>
      </c>
      <c r="B33" s="12">
        <f>'ODA-GNI time series'!B50</f>
        <v>1752.3430000000001</v>
      </c>
      <c r="C33" s="12">
        <v>153192</v>
      </c>
      <c r="D33" s="2">
        <f t="shared" si="1"/>
        <v>1.1438867564885895E-2</v>
      </c>
      <c r="E33" s="3"/>
      <c r="F33" s="3" t="str">
        <f>A46</f>
        <v>2012-2013</v>
      </c>
      <c r="G33" s="1">
        <f>'2018-19 budget'!J3/1000</f>
        <v>5.4542811086556995</v>
      </c>
      <c r="H33" s="12">
        <f>'2018-19 budget'!S3/1000</f>
        <v>406.95212050865962</v>
      </c>
      <c r="K33" s="12"/>
    </row>
    <row r="34" spans="1:11" x14ac:dyDescent="0.25">
      <c r="A34" t="s">
        <v>99</v>
      </c>
      <c r="B34" s="12">
        <f>'ODA-GNI time series'!B51</f>
        <v>1638.895</v>
      </c>
      <c r="C34" s="12">
        <v>177123</v>
      </c>
      <c r="D34" s="2">
        <f t="shared" si="1"/>
        <v>9.2528638290905185E-3</v>
      </c>
      <c r="E34" s="3"/>
      <c r="F34" s="3" t="str">
        <f t="shared" ref="F34:F42" si="2">A47</f>
        <v>2013-2014</v>
      </c>
      <c r="G34" s="1">
        <f>'2018-19 budget'!J4/1000</f>
        <v>5.5072953931699393</v>
      </c>
      <c r="H34" s="12">
        <f t="shared" ref="H34:H42" si="3">(C47-B47)/1000</f>
        <v>401.37846667919371</v>
      </c>
      <c r="J34" s="3">
        <f>G34/G$33-1</f>
        <v>9.7197565468543079E-3</v>
      </c>
      <c r="K34" s="3">
        <f>H34/H$33-1</f>
        <v>-1.3696092362165957E-2</v>
      </c>
    </row>
    <row r="35" spans="1:11" x14ac:dyDescent="0.25">
      <c r="A35" t="s">
        <v>100</v>
      </c>
      <c r="B35" s="12">
        <f>'ODA-GNI time series'!B52</f>
        <v>1765.8150000000001</v>
      </c>
      <c r="C35" s="12">
        <v>188655</v>
      </c>
      <c r="D35" s="2">
        <f t="shared" si="1"/>
        <v>9.3600222628607774E-3</v>
      </c>
      <c r="E35" s="3"/>
      <c r="F35" s="3" t="str">
        <f t="shared" si="2"/>
        <v>2014-2015</v>
      </c>
      <c r="G35" s="1">
        <f>'2018-19 budget'!J5/1000</f>
        <v>5.4280097466462784</v>
      </c>
      <c r="H35" s="12">
        <f t="shared" si="3"/>
        <v>407.02496815843119</v>
      </c>
      <c r="J35" s="3">
        <f t="shared" ref="J35:J42" si="4">G35/G$33-1</f>
        <v>-4.8166497996829927E-3</v>
      </c>
      <c r="K35" s="3">
        <f t="shared" ref="K35:K42" si="5">H35/H$33-1</f>
        <v>1.7900791297154051E-4</v>
      </c>
    </row>
    <row r="36" spans="1:11" x14ac:dyDescent="0.25">
      <c r="A36" t="s">
        <v>101</v>
      </c>
      <c r="B36" s="12">
        <f>'ODA-GNI time series'!B53</f>
        <v>1840.6969999999999</v>
      </c>
      <c r="C36" s="12">
        <v>198243</v>
      </c>
      <c r="D36" s="2">
        <f t="shared" si="1"/>
        <v>9.2850542011571648E-3</v>
      </c>
      <c r="E36" s="3"/>
      <c r="F36" s="3" t="str">
        <f t="shared" si="2"/>
        <v>2015-2016</v>
      </c>
      <c r="G36" s="1">
        <f>'2018-19 budget'!J6/1000</f>
        <v>4.4752028587346686</v>
      </c>
      <c r="H36" s="12">
        <f t="shared" si="3"/>
        <v>419.11849100000001</v>
      </c>
      <c r="J36" s="3">
        <f t="shared" si="4"/>
        <v>-0.17950637864397523</v>
      </c>
      <c r="K36" s="3">
        <f t="shared" si="5"/>
        <v>2.9896319193848608E-2</v>
      </c>
    </row>
    <row r="37" spans="1:11" x14ac:dyDescent="0.25">
      <c r="A37" t="s">
        <v>102</v>
      </c>
      <c r="B37" s="12">
        <f>'ODA-GNI time series'!B54</f>
        <v>1986.4469999999999</v>
      </c>
      <c r="C37" s="12">
        <v>209785</v>
      </c>
      <c r="D37" s="2">
        <f t="shared" si="1"/>
        <v>9.4689658459851753E-3</v>
      </c>
      <c r="E37" s="3"/>
      <c r="F37" s="3" t="str">
        <f t="shared" si="2"/>
        <v>2016-2017</v>
      </c>
      <c r="G37" s="1">
        <f>'2018-19 budget'!J7/1000</f>
        <v>4.2067701135000002</v>
      </c>
      <c r="H37" s="12">
        <f t="shared" si="3"/>
        <v>435.34146999999996</v>
      </c>
      <c r="J37" s="3">
        <f t="shared" si="4"/>
        <v>-0.22872143373321097</v>
      </c>
      <c r="K37" s="3">
        <f t="shared" si="5"/>
        <v>6.9760908128100541E-2</v>
      </c>
    </row>
    <row r="38" spans="1:11" x14ac:dyDescent="0.25">
      <c r="A38" t="s">
        <v>103</v>
      </c>
      <c r="B38" s="12">
        <f>'ODA-GNI time series'!B55</f>
        <v>2211.078</v>
      </c>
      <c r="C38" s="12">
        <v>222407</v>
      </c>
      <c r="D38" s="2">
        <f t="shared" si="1"/>
        <v>9.9415845724280267E-3</v>
      </c>
      <c r="E38" s="3"/>
      <c r="F38" s="3" t="str">
        <f t="shared" si="2"/>
        <v>2017-2018</v>
      </c>
      <c r="G38" s="1">
        <f>'2018-19 budget'!J8/1000</f>
        <v>4.1687325</v>
      </c>
      <c r="H38" s="12">
        <f t="shared" si="3"/>
        <v>455.82299999999998</v>
      </c>
      <c r="J38" s="3">
        <f t="shared" si="4"/>
        <v>-0.23569533418722988</v>
      </c>
      <c r="K38" s="3">
        <f t="shared" si="5"/>
        <v>0.12008999837684931</v>
      </c>
    </row>
    <row r="39" spans="1:11" x14ac:dyDescent="0.25">
      <c r="A39" t="s">
        <v>104</v>
      </c>
      <c r="B39" s="12">
        <f>'ODA-GNI time series'!B56</f>
        <v>2619.0356794696004</v>
      </c>
      <c r="C39" s="12">
        <v>240136</v>
      </c>
      <c r="D39" s="2">
        <f t="shared" si="1"/>
        <v>1.090646833240164E-2</v>
      </c>
      <c r="E39" s="3"/>
      <c r="F39" s="3" t="str">
        <f t="shared" si="2"/>
        <v>2018-2019</v>
      </c>
      <c r="G39" s="1">
        <f>'2018-19 budget'!J9/1000</f>
        <v>4.1609999999999996</v>
      </c>
      <c r="H39" s="12">
        <f t="shared" si="3"/>
        <v>480.43900000000002</v>
      </c>
      <c r="J39" s="3">
        <f t="shared" si="4"/>
        <v>-0.23711302789350563</v>
      </c>
      <c r="K39" s="3">
        <f t="shared" si="5"/>
        <v>0.18057868674940747</v>
      </c>
    </row>
    <row r="40" spans="1:11" x14ac:dyDescent="0.25">
      <c r="A40" t="s">
        <v>105</v>
      </c>
      <c r="B40" s="12">
        <f>'ODA-GNI time series'!B57</f>
        <v>2879.5707135016</v>
      </c>
      <c r="C40" s="12">
        <v>253321</v>
      </c>
      <c r="D40" s="2">
        <f t="shared" si="1"/>
        <v>1.1367279907712349E-2</v>
      </c>
      <c r="E40" s="3"/>
      <c r="F40" s="3" t="str">
        <f t="shared" si="2"/>
        <v>2019-2020</v>
      </c>
      <c r="G40" s="1">
        <f>'2018-19 budget'!J10/1000</f>
        <v>4.0682926829268293</v>
      </c>
      <c r="H40" s="12">
        <f t="shared" si="3"/>
        <v>493.33</v>
      </c>
      <c r="J40" s="3">
        <f t="shared" si="4"/>
        <v>-0.25411019309755944</v>
      </c>
      <c r="K40" s="3">
        <f t="shared" si="5"/>
        <v>0.21225563189933627</v>
      </c>
    </row>
    <row r="41" spans="1:11" x14ac:dyDescent="0.25">
      <c r="A41" t="s">
        <v>106</v>
      </c>
      <c r="B41" s="12">
        <f>'ODA-GNI time series'!B58</f>
        <v>3047.1135083008994</v>
      </c>
      <c r="C41" s="12">
        <v>271843</v>
      </c>
      <c r="D41" s="2">
        <f t="shared" si="1"/>
        <v>1.1209093146782884E-2</v>
      </c>
      <c r="E41" s="3"/>
      <c r="F41" s="3" t="str">
        <f t="shared" si="2"/>
        <v>2020-2021</v>
      </c>
      <c r="G41" s="1">
        <f>'2018-19 budget'!J11/1000</f>
        <v>3.8072575847709711</v>
      </c>
      <c r="H41" s="12">
        <f t="shared" si="3"/>
        <v>510.5</v>
      </c>
      <c r="J41" s="3">
        <f t="shared" si="4"/>
        <v>-0.30196894715803624</v>
      </c>
      <c r="K41" s="3">
        <f t="shared" si="5"/>
        <v>0.25444732751831656</v>
      </c>
    </row>
    <row r="42" spans="1:11" x14ac:dyDescent="0.25">
      <c r="A42" t="s">
        <v>107</v>
      </c>
      <c r="B42" s="12">
        <f>'ODA-GNI time series'!B59</f>
        <v>3709.1856654378998</v>
      </c>
      <c r="C42" s="12">
        <v>316046</v>
      </c>
      <c r="D42" s="2">
        <f t="shared" si="1"/>
        <v>1.1736220883788753E-2</v>
      </c>
      <c r="E42" s="3"/>
      <c r="F42" s="29" t="str">
        <f t="shared" si="2"/>
        <v>2021-2022</v>
      </c>
      <c r="G42" s="32">
        <f>'2018-19 budget'!J12/1000</f>
        <v>3.7143976436789958</v>
      </c>
      <c r="H42" s="28">
        <f t="shared" si="3"/>
        <v>533.29999999999995</v>
      </c>
      <c r="I42" s="27"/>
      <c r="J42" s="29">
        <f t="shared" si="4"/>
        <v>-0.31899409478832819</v>
      </c>
      <c r="K42" s="29">
        <f t="shared" si="5"/>
        <v>0.31047357446722468</v>
      </c>
    </row>
    <row r="43" spans="1:11" x14ac:dyDescent="0.25">
      <c r="A43" t="s">
        <v>108</v>
      </c>
      <c r="B43" s="12">
        <f>'ODA-GNI time series'!B60</f>
        <v>3813.2244176155004</v>
      </c>
      <c r="C43" s="12">
        <v>336900</v>
      </c>
      <c r="D43" s="2">
        <f t="shared" si="1"/>
        <v>1.1318564611503415E-2</v>
      </c>
      <c r="E43" s="3"/>
      <c r="F43" s="3"/>
      <c r="G43" s="6"/>
      <c r="H43" s="12"/>
      <c r="K43" s="12"/>
    </row>
    <row r="44" spans="1:11" x14ac:dyDescent="0.25">
      <c r="A44" t="s">
        <v>109</v>
      </c>
      <c r="B44" s="12">
        <f>'ODA-GNI time series'!B61</f>
        <v>4259.6384054260998</v>
      </c>
      <c r="C44" s="12">
        <v>346102</v>
      </c>
      <c r="D44" s="2">
        <f t="shared" si="1"/>
        <v>1.2307465444944264E-2</v>
      </c>
      <c r="E44" s="3"/>
      <c r="F44" s="3"/>
      <c r="G44" s="6"/>
      <c r="H44" s="12"/>
      <c r="K44" s="12"/>
    </row>
    <row r="45" spans="1:11" x14ac:dyDescent="0.25">
      <c r="A45" t="s">
        <v>110</v>
      </c>
      <c r="B45" s="12">
        <f>'ODA-GNI time series'!B62</f>
        <v>4764.9995516866993</v>
      </c>
      <c r="C45" s="12">
        <v>371032</v>
      </c>
      <c r="D45" s="2">
        <f t="shared" si="1"/>
        <v>1.2842556846004386E-2</v>
      </c>
      <c r="E45" s="3"/>
      <c r="F45" s="3"/>
      <c r="G45" s="6"/>
      <c r="H45" s="12"/>
      <c r="K45" s="12"/>
    </row>
    <row r="46" spans="1:11" x14ac:dyDescent="0.25">
      <c r="A46" t="s">
        <v>111</v>
      </c>
      <c r="B46" s="18">
        <f>'ODA-GNI time series'!B63</f>
        <v>4856.4567193147004</v>
      </c>
      <c r="C46" s="18">
        <f>'2018-19 budget'!O3*1000</f>
        <v>367204</v>
      </c>
      <c r="D46" s="2">
        <f t="shared" si="1"/>
        <v>1.3225500591809186E-2</v>
      </c>
      <c r="E46" s="3"/>
      <c r="F46" s="3"/>
      <c r="G46" s="6"/>
      <c r="H46" s="12"/>
      <c r="K46" s="12"/>
    </row>
    <row r="47" spans="1:11" x14ac:dyDescent="0.25">
      <c r="A47" t="s">
        <v>112</v>
      </c>
      <c r="B47" s="18">
        <f>'ODA-GNI time series'!B64</f>
        <v>5051.5333208062984</v>
      </c>
      <c r="C47" s="18">
        <f>'2018-19 budget'!O4*1000</f>
        <v>406430</v>
      </c>
      <c r="D47" s="2">
        <f t="shared" si="1"/>
        <v>1.2429036539641017E-2</v>
      </c>
      <c r="E47" s="3"/>
      <c r="F47" s="3"/>
      <c r="G47" s="6"/>
      <c r="H47" s="12"/>
      <c r="K47" s="12"/>
    </row>
    <row r="48" spans="1:11" x14ac:dyDescent="0.25">
      <c r="A48" t="s">
        <v>113</v>
      </c>
      <c r="B48" s="18">
        <f>'ODA-GNI time series'!B65</f>
        <v>5054.0318415688016</v>
      </c>
      <c r="C48" s="18">
        <f>'2018-19 budget'!O5*1000</f>
        <v>412079</v>
      </c>
      <c r="D48" s="2">
        <f t="shared" si="1"/>
        <v>1.2264715847128346E-2</v>
      </c>
      <c r="E48" s="3"/>
      <c r="F48" s="3"/>
      <c r="G48" s="6"/>
      <c r="H48" s="12"/>
      <c r="K48" s="12"/>
    </row>
    <row r="49" spans="1:11" x14ac:dyDescent="0.25">
      <c r="A49" t="s">
        <v>114</v>
      </c>
      <c r="B49" s="18">
        <f>'ODA-GNI time series'!B66</f>
        <v>4209.509</v>
      </c>
      <c r="C49" s="18">
        <f>'2018-19 budget'!O6*1000</f>
        <v>423328</v>
      </c>
      <c r="D49" s="2">
        <f t="shared" si="1"/>
        <v>9.9438473240607752E-3</v>
      </c>
      <c r="E49" s="3"/>
      <c r="F49" s="3"/>
      <c r="G49" s="6"/>
      <c r="H49" s="12"/>
      <c r="K49" s="12"/>
    </row>
    <row r="50" spans="1:11" x14ac:dyDescent="0.25">
      <c r="A50" t="s">
        <v>115</v>
      </c>
      <c r="B50" s="18">
        <f>'ODA-GNI time series'!B67</f>
        <v>4033.53</v>
      </c>
      <c r="C50" s="18">
        <f>'2018-19 budget'!O7*1000</f>
        <v>439375</v>
      </c>
      <c r="D50" s="2">
        <f t="shared" si="1"/>
        <v>9.1801536273115221E-3</v>
      </c>
      <c r="E50" s="3"/>
      <c r="F50" s="3"/>
      <c r="G50" s="6"/>
      <c r="H50" s="12"/>
      <c r="K50" s="12"/>
    </row>
    <row r="51" spans="1:11" x14ac:dyDescent="0.25">
      <c r="A51" t="s">
        <v>116</v>
      </c>
      <c r="B51" s="18">
        <f>'ODA-GNI time series'!B68</f>
        <v>4077</v>
      </c>
      <c r="C51" s="18">
        <f>'2018-19 budget'!O8*1000</f>
        <v>459900</v>
      </c>
      <c r="D51" s="2">
        <f t="shared" si="1"/>
        <v>8.8649706457925633E-3</v>
      </c>
      <c r="E51" s="3"/>
      <c r="F51" s="3"/>
      <c r="G51" s="6"/>
      <c r="H51" s="12"/>
      <c r="K51" s="12"/>
    </row>
    <row r="52" spans="1:11" x14ac:dyDescent="0.25">
      <c r="A52" t="s">
        <v>117</v>
      </c>
      <c r="B52" s="18">
        <f>'ODA-GNI time series'!B69</f>
        <v>4161</v>
      </c>
      <c r="C52" s="18">
        <f>'2018-19 budget'!O9*1000</f>
        <v>484600</v>
      </c>
      <c r="D52" s="2">
        <f t="shared" si="1"/>
        <v>8.5864630623194386E-3</v>
      </c>
      <c r="E52" s="3"/>
      <c r="F52" s="3"/>
      <c r="G52" s="6"/>
    </row>
    <row r="53" spans="1:11" x14ac:dyDescent="0.25">
      <c r="A53" t="s">
        <v>125</v>
      </c>
      <c r="B53" s="18">
        <f>'ODA-GNI time series'!B70</f>
        <v>4170</v>
      </c>
      <c r="C53" s="18">
        <f>'2018-19 budget'!O10*1000</f>
        <v>497500</v>
      </c>
      <c r="D53" s="2">
        <f t="shared" si="1"/>
        <v>8.3819095477386928E-3</v>
      </c>
    </row>
    <row r="54" spans="1:11" x14ac:dyDescent="0.25">
      <c r="A54" t="s">
        <v>140</v>
      </c>
      <c r="B54" s="18">
        <f>'ODA-GNI time series'!B71</f>
        <v>4000</v>
      </c>
      <c r="C54" s="18">
        <f>'2018-19 budget'!O11*1000</f>
        <v>514500</v>
      </c>
      <c r="D54" s="2">
        <f t="shared" si="1"/>
        <v>7.7745383867832843E-3</v>
      </c>
    </row>
    <row r="55" spans="1:11" x14ac:dyDescent="0.25">
      <c r="A55" t="s">
        <v>144</v>
      </c>
      <c r="B55" s="18">
        <f>'ODA-GNI time series'!B72</f>
        <v>4000</v>
      </c>
      <c r="C55" s="18">
        <f>'2018-19 budget'!O12*1000</f>
        <v>537300</v>
      </c>
      <c r="D55" s="2">
        <f t="shared" si="1"/>
        <v>7.4446305602084498E-3</v>
      </c>
    </row>
    <row r="56" spans="1:11" x14ac:dyDescent="0.25">
      <c r="B56" s="25"/>
      <c r="C56" s="25"/>
      <c r="D56" s="2"/>
    </row>
    <row r="57" spans="1:11" x14ac:dyDescent="0.25">
      <c r="A57" t="s">
        <v>119</v>
      </c>
    </row>
    <row r="58" spans="1:11" x14ac:dyDescent="0.25">
      <c r="A58" t="s">
        <v>120</v>
      </c>
    </row>
    <row r="59" spans="1:11" x14ac:dyDescent="0.25">
      <c r="A59" t="s">
        <v>124</v>
      </c>
    </row>
  </sheetData>
  <mergeCells count="2">
    <mergeCell ref="G32:H32"/>
    <mergeCell ref="J32:K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5"/>
  <sheetViews>
    <sheetView zoomScale="70" zoomScaleNormal="70" workbookViewId="0">
      <selection activeCell="H22" sqref="H22"/>
    </sheetView>
  </sheetViews>
  <sheetFormatPr defaultRowHeight="15" x14ac:dyDescent="0.25"/>
  <cols>
    <col min="1" max="1" width="15.85546875" customWidth="1"/>
    <col min="2" max="2" width="12.28515625" bestFit="1" customWidth="1"/>
    <col min="12" max="12" width="14.28515625" customWidth="1"/>
    <col min="13" max="13" width="12.42578125" customWidth="1"/>
    <col min="15" max="15" width="13.28515625" customWidth="1"/>
    <col min="17" max="17" width="14.140625" customWidth="1"/>
    <col min="19" max="21" width="12" bestFit="1" customWidth="1"/>
    <col min="22" max="35" width="12.5703125" bestFit="1" customWidth="1"/>
    <col min="36" max="36" width="12.5703125" style="9" customWidth="1"/>
    <col min="37" max="62" width="12.5703125" bestFit="1" customWidth="1"/>
  </cols>
  <sheetData>
    <row r="1" spans="1:67" x14ac:dyDescent="0.25">
      <c r="A1" t="s">
        <v>181</v>
      </c>
      <c r="B1" t="s">
        <v>180</v>
      </c>
      <c r="C1" t="s">
        <v>179</v>
      </c>
      <c r="D1" t="s">
        <v>178</v>
      </c>
      <c r="E1" t="s">
        <v>177</v>
      </c>
      <c r="F1" t="s">
        <v>176</v>
      </c>
      <c r="G1" t="s">
        <v>127</v>
      </c>
      <c r="H1" t="s">
        <v>175</v>
      </c>
      <c r="I1" t="s">
        <v>174</v>
      </c>
      <c r="J1" t="s">
        <v>173</v>
      </c>
      <c r="K1" t="s">
        <v>172</v>
      </c>
      <c r="L1" t="s">
        <v>171</v>
      </c>
      <c r="M1" t="s">
        <v>170</v>
      </c>
      <c r="N1" t="s">
        <v>169</v>
      </c>
      <c r="O1" t="s">
        <v>168</v>
      </c>
      <c r="P1" t="s">
        <v>167</v>
      </c>
      <c r="Q1" t="s">
        <v>166</v>
      </c>
      <c r="R1" t="s">
        <v>165</v>
      </c>
      <c r="S1" t="s">
        <v>68</v>
      </c>
      <c r="T1" s="47" t="s">
        <v>6</v>
      </c>
      <c r="U1" s="47" t="s">
        <v>7</v>
      </c>
      <c r="V1" s="47" t="s">
        <v>8</v>
      </c>
      <c r="W1" s="47" t="s">
        <v>9</v>
      </c>
      <c r="X1" s="47" t="s">
        <v>10</v>
      </c>
      <c r="Y1" s="47" t="s">
        <v>11</v>
      </c>
      <c r="Z1" s="47" t="s">
        <v>12</v>
      </c>
      <c r="AA1" s="47" t="s">
        <v>13</v>
      </c>
      <c r="AB1" s="47" t="s">
        <v>14</v>
      </c>
      <c r="AC1" s="47" t="s">
        <v>15</v>
      </c>
      <c r="AD1" s="47" t="s">
        <v>16</v>
      </c>
      <c r="AE1" s="47" t="s">
        <v>17</v>
      </c>
      <c r="AF1" s="47" t="s">
        <v>18</v>
      </c>
      <c r="AG1" s="47" t="s">
        <v>19</v>
      </c>
      <c r="AH1" s="47" t="s">
        <v>20</v>
      </c>
      <c r="AI1" s="47" t="s">
        <v>21</v>
      </c>
      <c r="AJ1" s="47" t="s">
        <v>22</v>
      </c>
      <c r="AK1" s="47" t="s">
        <v>23</v>
      </c>
      <c r="AL1" s="47" t="s">
        <v>24</v>
      </c>
      <c r="AM1" s="47" t="s">
        <v>25</v>
      </c>
      <c r="AN1" s="47" t="s">
        <v>26</v>
      </c>
      <c r="AO1" s="47" t="s">
        <v>27</v>
      </c>
      <c r="AP1" s="47" t="s">
        <v>28</v>
      </c>
      <c r="AQ1" s="47" t="s">
        <v>29</v>
      </c>
      <c r="AR1" s="47" t="s">
        <v>30</v>
      </c>
      <c r="AS1" s="47" t="s">
        <v>70</v>
      </c>
      <c r="AT1" s="47" t="s">
        <v>32</v>
      </c>
      <c r="AU1" s="48" t="s">
        <v>33</v>
      </c>
      <c r="AV1" s="48" t="s">
        <v>34</v>
      </c>
      <c r="AW1" s="48" t="s">
        <v>35</v>
      </c>
      <c r="AX1" s="48" t="s">
        <v>36</v>
      </c>
      <c r="AY1" s="49" t="s">
        <v>41</v>
      </c>
      <c r="AZ1" s="49" t="s">
        <v>37</v>
      </c>
      <c r="BA1" s="48" t="s">
        <v>38</v>
      </c>
      <c r="BB1" s="49" t="s">
        <v>39</v>
      </c>
      <c r="BC1" s="49" t="s">
        <v>1</v>
      </c>
      <c r="BD1" s="48" t="s">
        <v>2</v>
      </c>
      <c r="BE1" s="48" t="s">
        <v>3</v>
      </c>
      <c r="BF1" s="50" t="s">
        <v>5</v>
      </c>
      <c r="BG1" s="50" t="s">
        <v>182</v>
      </c>
      <c r="BH1" s="50" t="s">
        <v>45</v>
      </c>
      <c r="BI1" s="50" t="s">
        <v>44</v>
      </c>
      <c r="BJ1" s="51" t="s">
        <v>43</v>
      </c>
      <c r="BK1" t="s">
        <v>42</v>
      </c>
      <c r="BL1" s="52" t="s">
        <v>74</v>
      </c>
      <c r="BM1" s="52" t="s">
        <v>118</v>
      </c>
      <c r="BN1" s="52" t="s">
        <v>139</v>
      </c>
      <c r="BO1" s="52" t="s">
        <v>154</v>
      </c>
    </row>
    <row r="2" spans="1:67" x14ac:dyDescent="0.25">
      <c r="A2" t="s">
        <v>164</v>
      </c>
      <c r="B2" t="s">
        <v>163</v>
      </c>
      <c r="C2" t="s">
        <v>162</v>
      </c>
      <c r="D2" t="s">
        <v>161</v>
      </c>
      <c r="E2">
        <v>410500000</v>
      </c>
      <c r="F2">
        <v>420500000</v>
      </c>
      <c r="G2">
        <v>437000000</v>
      </c>
      <c r="H2">
        <v>494000000</v>
      </c>
      <c r="I2">
        <v>585500000</v>
      </c>
      <c r="J2">
        <v>703000000</v>
      </c>
      <c r="K2">
        <v>881000000</v>
      </c>
      <c r="L2">
        <v>1069500000</v>
      </c>
      <c r="M2">
        <v>1180000000</v>
      </c>
      <c r="N2">
        <v>1174000000</v>
      </c>
      <c r="O2">
        <v>1140500000</v>
      </c>
      <c r="P2">
        <v>1175500000</v>
      </c>
      <c r="Q2">
        <v>1245000000</v>
      </c>
      <c r="R2">
        <v>1305500000</v>
      </c>
      <c r="S2">
        <v>1482000000</v>
      </c>
      <c r="T2">
        <v>1733000000</v>
      </c>
      <c r="U2">
        <v>1997500000</v>
      </c>
      <c r="V2">
        <v>2255000000</v>
      </c>
      <c r="W2">
        <v>2460500000</v>
      </c>
      <c r="X2">
        <v>2774000000</v>
      </c>
      <c r="Y2">
        <v>3212500000</v>
      </c>
      <c r="Z2">
        <v>3762500000</v>
      </c>
      <c r="AA2">
        <v>4396500000</v>
      </c>
      <c r="AB2">
        <v>5008000000</v>
      </c>
      <c r="AC2">
        <v>5612500000</v>
      </c>
      <c r="AD2">
        <v>6281500000</v>
      </c>
      <c r="AE2">
        <v>6891500000</v>
      </c>
      <c r="AF2">
        <v>7222500000</v>
      </c>
      <c r="AG2">
        <v>7470000000</v>
      </c>
      <c r="AH2">
        <v>7967000000</v>
      </c>
      <c r="AI2">
        <v>8588500000</v>
      </c>
      <c r="AJ2">
        <v>9016500000</v>
      </c>
      <c r="AK2">
        <v>9371000000</v>
      </c>
      <c r="AL2">
        <v>9902500000</v>
      </c>
      <c r="AM2">
        <v>10203000000</v>
      </c>
      <c r="AN2">
        <v>10341500000</v>
      </c>
      <c r="AO2">
        <v>10482000000</v>
      </c>
      <c r="AP2">
        <v>10694000000</v>
      </c>
      <c r="AQ2">
        <v>11314000000</v>
      </c>
      <c r="AR2">
        <v>12043500000</v>
      </c>
      <c r="AS2">
        <v>12546000000</v>
      </c>
      <c r="AT2">
        <v>13617500000</v>
      </c>
      <c r="AU2">
        <v>14626500000</v>
      </c>
      <c r="AV2">
        <v>15306000000</v>
      </c>
      <c r="AW2">
        <v>16310500000</v>
      </c>
      <c r="AX2">
        <v>17334500000</v>
      </c>
      <c r="AY2">
        <v>18910000000</v>
      </c>
      <c r="AZ2">
        <v>20539000000</v>
      </c>
      <c r="BA2">
        <v>22214000000</v>
      </c>
      <c r="BB2">
        <v>24310500000</v>
      </c>
      <c r="BC2">
        <v>25311000000</v>
      </c>
      <c r="BD2">
        <v>25785000000</v>
      </c>
      <c r="BE2">
        <v>25320000000</v>
      </c>
      <c r="BF2">
        <v>25715000000</v>
      </c>
      <c r="BG2">
        <v>28603500000</v>
      </c>
      <c r="BH2">
        <v>31998500000</v>
      </c>
      <c r="BI2">
        <v>33119000000</v>
      </c>
      <c r="BK2" t="s">
        <v>160</v>
      </c>
    </row>
    <row r="3" spans="1:67" x14ac:dyDescent="0.25">
      <c r="A3" t="s">
        <v>159</v>
      </c>
    </row>
    <row r="4" spans="1:67" x14ac:dyDescent="0.25">
      <c r="A4" t="s">
        <v>158</v>
      </c>
      <c r="BO4" t="e">
        <f>#REF!/#REF!-1</f>
        <v>#REF!</v>
      </c>
    </row>
    <row r="5" spans="1:67" x14ac:dyDescent="0.25">
      <c r="A5" t="s">
        <v>195</v>
      </c>
      <c r="BO5" t="e">
        <f>#REF!/#REF!</f>
        <v>#REF!</v>
      </c>
    </row>
    <row r="6" spans="1:67" s="11" customFormat="1" ht="45" x14ac:dyDescent="0.25">
      <c r="B6" s="94" t="s">
        <v>183</v>
      </c>
      <c r="C6" s="94"/>
      <c r="D6" s="79" t="s">
        <v>141</v>
      </c>
      <c r="E6" s="79"/>
      <c r="F6" s="93" t="s">
        <v>147</v>
      </c>
      <c r="G6" s="93"/>
      <c r="H6" s="79" t="s">
        <v>202</v>
      </c>
      <c r="I6" s="79"/>
      <c r="J6" s="79" t="s">
        <v>235</v>
      </c>
      <c r="K6" s="79" t="s">
        <v>236</v>
      </c>
      <c r="L6" s="79" t="s">
        <v>208</v>
      </c>
      <c r="M6" s="79" t="s">
        <v>231</v>
      </c>
      <c r="N6" s="79"/>
      <c r="O6" s="79" t="s">
        <v>233</v>
      </c>
      <c r="P6" s="79" t="s">
        <v>234</v>
      </c>
      <c r="Q6" s="79" t="s">
        <v>208</v>
      </c>
      <c r="AG6" s="62"/>
      <c r="BB6" s="11" t="s">
        <v>185</v>
      </c>
    </row>
    <row r="7" spans="1:67" ht="60" x14ac:dyDescent="0.25">
      <c r="B7" s="80" t="s">
        <v>189</v>
      </c>
      <c r="C7" s="80" t="s">
        <v>190</v>
      </c>
      <c r="D7" s="80"/>
      <c r="E7" s="80"/>
      <c r="F7" s="46" t="s">
        <v>193</v>
      </c>
      <c r="G7" s="46" t="s">
        <v>194</v>
      </c>
      <c r="H7" s="80"/>
      <c r="I7" s="80"/>
      <c r="J7" s="80"/>
      <c r="K7" s="80"/>
      <c r="L7" s="80"/>
      <c r="M7" s="80"/>
      <c r="N7" s="80"/>
      <c r="O7" s="89" t="s">
        <v>232</v>
      </c>
      <c r="P7" s="89"/>
      <c r="Q7" s="89"/>
      <c r="AD7" s="9"/>
      <c r="AJ7"/>
      <c r="AY7" t="s">
        <v>184</v>
      </c>
      <c r="AZ7">
        <v>0.89039355005148557</v>
      </c>
      <c r="BA7">
        <v>0.91724393920673464</v>
      </c>
      <c r="BB7">
        <v>0.93110220457718595</v>
      </c>
      <c r="BC7">
        <v>0.9406297620193711</v>
      </c>
      <c r="BD7">
        <v>0.95881873531808814</v>
      </c>
      <c r="BE7">
        <v>0.97799511002444983</v>
      </c>
      <c r="BF7">
        <v>1</v>
      </c>
      <c r="BG7">
        <v>1.0249999999999999</v>
      </c>
      <c r="BH7">
        <v>1.0506249999999997</v>
      </c>
      <c r="BI7">
        <v>1.0768906249999997</v>
      </c>
    </row>
    <row r="8" spans="1:67" x14ac:dyDescent="0.25">
      <c r="A8" s="27"/>
      <c r="B8" s="81" t="s">
        <v>191</v>
      </c>
      <c r="C8" s="81" t="s">
        <v>192</v>
      </c>
      <c r="D8" s="81" t="s">
        <v>192</v>
      </c>
      <c r="E8" s="81"/>
      <c r="F8" s="81"/>
      <c r="G8" s="81"/>
      <c r="H8" s="81"/>
      <c r="I8" s="81"/>
      <c r="J8" s="81" t="s">
        <v>60</v>
      </c>
      <c r="K8" s="81" t="s">
        <v>60</v>
      </c>
      <c r="L8" s="81" t="s">
        <v>192</v>
      </c>
      <c r="M8" s="81" t="s">
        <v>60</v>
      </c>
      <c r="N8" s="81"/>
      <c r="O8" s="81" t="s">
        <v>192</v>
      </c>
      <c r="P8" s="81" t="s">
        <v>192</v>
      </c>
      <c r="Q8" s="81" t="s">
        <v>192</v>
      </c>
      <c r="AD8" s="9"/>
      <c r="AJ8"/>
    </row>
    <row r="9" spans="1:67" x14ac:dyDescent="0.25">
      <c r="A9" t="str">
        <f>'ODA-GNI time series'!A12</f>
        <v>1961-62</v>
      </c>
      <c r="B9">
        <v>437000000</v>
      </c>
      <c r="D9" s="1">
        <f>'ODA-GNI time series'!B12</f>
        <v>64</v>
      </c>
      <c r="E9" s="1" t="str">
        <f>A9</f>
        <v>1961-62</v>
      </c>
      <c r="F9">
        <f>B9/D9/1000000</f>
        <v>6.828125</v>
      </c>
      <c r="H9" s="1">
        <f>'ODA-GNI time series'!C12</f>
        <v>17.806000000000001</v>
      </c>
      <c r="I9" s="1" t="str">
        <f>A9</f>
        <v>1961-62</v>
      </c>
      <c r="J9">
        <f t="shared" ref="J9:J40" si="0">D9/H9/10</f>
        <v>0.35942940581826349</v>
      </c>
      <c r="K9">
        <f t="shared" ref="K9:K50" si="1">J9*F9</f>
        <v>2.4542289116028302</v>
      </c>
      <c r="M9">
        <f>'ODA-GNI time series'!L12</f>
        <v>6.7559043680949282E-2</v>
      </c>
      <c r="N9" s="1" t="str">
        <f t="shared" ref="N9:N40" si="2">I9</f>
        <v>1961-62</v>
      </c>
      <c r="O9" s="13">
        <f>'ODA-GNI time series'!G12</f>
        <v>947.31950769230787</v>
      </c>
      <c r="P9">
        <f t="shared" ref="P9:P50" si="3">O9*F9</f>
        <v>6468.4160134615395</v>
      </c>
      <c r="R9" s="13"/>
      <c r="AF9" s="9"/>
      <c r="AJ9"/>
      <c r="BA9" t="s">
        <v>46</v>
      </c>
      <c r="BB9" t="e">
        <f>#REF!/AZ7</f>
        <v>#REF!</v>
      </c>
      <c r="BC9" t="e">
        <f>#REF!/BA7</f>
        <v>#REF!</v>
      </c>
      <c r="BD9" t="e">
        <f>#REF!/BB7</f>
        <v>#REF!</v>
      </c>
      <c r="BE9" t="e">
        <f>#REF!/BC7</f>
        <v>#REF!</v>
      </c>
      <c r="BF9" t="e">
        <f>#REF!/BD7</f>
        <v>#REF!</v>
      </c>
      <c r="BG9" t="e">
        <f>#REF!/BE7</f>
        <v>#REF!</v>
      </c>
      <c r="BH9" t="e">
        <f>#REF!/BF7</f>
        <v>#REF!</v>
      </c>
      <c r="BI9" t="e">
        <f>#REF!/BG7</f>
        <v>#REF!</v>
      </c>
      <c r="BJ9" t="e">
        <f>#REF!/BH7</f>
        <v>#REF!</v>
      </c>
      <c r="BK9" t="e">
        <f>#REF!/BI7</f>
        <v>#REF!</v>
      </c>
      <c r="BL9" t="e">
        <f>BK9/BB9-1</f>
        <v>#REF!</v>
      </c>
    </row>
    <row r="10" spans="1:67" x14ac:dyDescent="0.25">
      <c r="A10" t="str">
        <f>'ODA-GNI time series'!A13</f>
        <v>1962-63</v>
      </c>
      <c r="B10">
        <v>494000000</v>
      </c>
      <c r="D10" s="1">
        <f>'ODA-GNI time series'!B13</f>
        <v>75</v>
      </c>
      <c r="E10" s="1" t="str">
        <f t="shared" ref="E10:E69" si="4">A10</f>
        <v>1962-63</v>
      </c>
      <c r="F10">
        <f t="shared" ref="F10:F63" si="5">B10/D10/1000000</f>
        <v>6.5866666666666669</v>
      </c>
      <c r="H10" s="1">
        <f>'ODA-GNI time series'!C13</f>
        <v>19.14</v>
      </c>
      <c r="I10" s="1" t="str">
        <f t="shared" ref="I10:I69" si="6">A10</f>
        <v>1962-63</v>
      </c>
      <c r="J10">
        <f t="shared" si="0"/>
        <v>0.39184952978056425</v>
      </c>
      <c r="K10">
        <f t="shared" si="1"/>
        <v>2.5809822361546502</v>
      </c>
      <c r="M10">
        <f>'ODA-GNI time series'!L13</f>
        <v>6.7559043680949296E-2</v>
      </c>
      <c r="N10" s="1" t="str">
        <f t="shared" si="2"/>
        <v>1962-63</v>
      </c>
      <c r="O10" s="13">
        <f>'ODA-GNI time series'!G13</f>
        <v>1110.1400480769232</v>
      </c>
      <c r="P10">
        <f t="shared" si="3"/>
        <v>7312.1224500000008</v>
      </c>
      <c r="R10" s="13"/>
      <c r="AF10" s="9"/>
      <c r="AJ10"/>
    </row>
    <row r="11" spans="1:67" x14ac:dyDescent="0.25">
      <c r="A11" t="str">
        <f>'ODA-GNI time series'!A14</f>
        <v>1963-64</v>
      </c>
      <c r="B11">
        <v>585500000</v>
      </c>
      <c r="D11" s="1">
        <f>'ODA-GNI time series'!B14</f>
        <v>86</v>
      </c>
      <c r="E11" s="1" t="str">
        <f t="shared" si="4"/>
        <v>1963-64</v>
      </c>
      <c r="F11">
        <f t="shared" si="5"/>
        <v>6.808139534883721</v>
      </c>
      <c r="H11" s="1">
        <f>'ODA-GNI time series'!C14</f>
        <v>21.206</v>
      </c>
      <c r="I11" s="1" t="str">
        <f t="shared" si="6"/>
        <v>1963-64</v>
      </c>
      <c r="J11">
        <f t="shared" si="0"/>
        <v>0.40554560030180137</v>
      </c>
      <c r="K11">
        <f t="shared" si="1"/>
        <v>2.7610110346128454</v>
      </c>
      <c r="M11">
        <f>'ODA-GNI time series'!L14</f>
        <v>6.9291326852255683E-2</v>
      </c>
      <c r="N11" s="1" t="str">
        <f t="shared" si="2"/>
        <v>1963-64</v>
      </c>
      <c r="O11" s="13">
        <f>'ODA-GNI time series'!G14</f>
        <v>1241.13657375</v>
      </c>
      <c r="P11">
        <f t="shared" si="3"/>
        <v>8449.8309759375006</v>
      </c>
      <c r="R11" s="13"/>
      <c r="AF11" s="9"/>
      <c r="AJ11"/>
    </row>
    <row r="12" spans="1:67" x14ac:dyDescent="0.25">
      <c r="A12" t="str">
        <f>'ODA-GNI time series'!A15</f>
        <v>1964-65</v>
      </c>
      <c r="B12">
        <v>703000000</v>
      </c>
      <c r="D12" s="1">
        <f>'ODA-GNI time series'!B15</f>
        <v>95.778999999999996</v>
      </c>
      <c r="E12" s="1" t="str">
        <f t="shared" si="4"/>
        <v>1964-65</v>
      </c>
      <c r="F12">
        <f t="shared" si="5"/>
        <v>7.3398135290616944</v>
      </c>
      <c r="H12" s="1">
        <f>'ODA-GNI time series'!C15</f>
        <v>23.216999999999999</v>
      </c>
      <c r="I12" s="1" t="str">
        <f t="shared" si="6"/>
        <v>1964-65</v>
      </c>
      <c r="J12">
        <f t="shared" si="0"/>
        <v>0.41253822629969417</v>
      </c>
      <c r="K12">
        <f t="shared" si="1"/>
        <v>3.0279536546496102</v>
      </c>
      <c r="M12">
        <f>'ODA-GNI time series'!L15</f>
        <v>7.1889751609215263E-2</v>
      </c>
      <c r="N12" s="1" t="str">
        <f t="shared" si="2"/>
        <v>1964-65</v>
      </c>
      <c r="O12" s="13">
        <f>'ODA-GNI time series'!G15</f>
        <v>1332.3039495343376</v>
      </c>
      <c r="P12">
        <f t="shared" si="3"/>
        <v>9778.8625536144591</v>
      </c>
      <c r="R12" s="13"/>
      <c r="AF12" s="9"/>
      <c r="AJ12"/>
    </row>
    <row r="13" spans="1:67" x14ac:dyDescent="0.25">
      <c r="A13" t="str">
        <f>'ODA-GNI time series'!A16</f>
        <v>1965-66</v>
      </c>
      <c r="B13">
        <v>881000000</v>
      </c>
      <c r="D13" s="1">
        <f>'ODA-GNI time series'!B16</f>
        <v>107.122</v>
      </c>
      <c r="E13" s="1" t="str">
        <f t="shared" si="4"/>
        <v>1965-66</v>
      </c>
      <c r="F13">
        <f t="shared" si="5"/>
        <v>8.2242676574373146</v>
      </c>
      <c r="H13" s="1">
        <f>'ODA-GNI time series'!C16</f>
        <v>24.285</v>
      </c>
      <c r="I13" s="1" t="str">
        <f t="shared" si="6"/>
        <v>1965-66</v>
      </c>
      <c r="J13">
        <f t="shared" si="0"/>
        <v>0.4411035618694667</v>
      </c>
      <c r="K13">
        <f t="shared" si="1"/>
        <v>3.6277537574634544</v>
      </c>
      <c r="M13">
        <f>'ODA-GNI time series'!L16</f>
        <v>7.4488176366174844E-2</v>
      </c>
      <c r="N13" s="1" t="str">
        <f t="shared" si="2"/>
        <v>1965-66</v>
      </c>
      <c r="O13" s="13">
        <f>'ODA-GNI time series'!G16</f>
        <v>1438.1074316197678</v>
      </c>
      <c r="P13">
        <f t="shared" si="3"/>
        <v>11827.3804377907</v>
      </c>
      <c r="R13" s="13"/>
      <c r="AF13" s="9"/>
      <c r="AJ13"/>
    </row>
    <row r="14" spans="1:67" x14ac:dyDescent="0.25">
      <c r="A14" t="str">
        <f>'ODA-GNI time series'!A17</f>
        <v>1966-67</v>
      </c>
      <c r="B14">
        <v>1069500000</v>
      </c>
      <c r="D14" s="1">
        <f>'ODA-GNI time series'!B17</f>
        <v>124.38800000000001</v>
      </c>
      <c r="E14" s="1" t="str">
        <f t="shared" si="4"/>
        <v>1966-67</v>
      </c>
      <c r="F14">
        <f t="shared" si="5"/>
        <v>8.5980962793838618</v>
      </c>
      <c r="H14" s="1">
        <f>'ODA-GNI time series'!C17</f>
        <v>26.939</v>
      </c>
      <c r="I14" s="1" t="str">
        <f t="shared" si="6"/>
        <v>1966-67</v>
      </c>
      <c r="J14">
        <f t="shared" si="0"/>
        <v>0.46173948550428745</v>
      </c>
      <c r="K14">
        <f t="shared" si="1"/>
        <v>3.9700805523590326</v>
      </c>
      <c r="M14">
        <f>'ODA-GNI time series'!L17</f>
        <v>7.7086601123134452E-2</v>
      </c>
      <c r="N14" s="1" t="str">
        <f t="shared" si="2"/>
        <v>1966-67</v>
      </c>
      <c r="O14" s="13">
        <f>'ODA-GNI time series'!G17</f>
        <v>1613.6137563168541</v>
      </c>
      <c r="P14">
        <f t="shared" si="3"/>
        <v>13874.00643455056</v>
      </c>
      <c r="R14" s="13"/>
      <c r="AF14" s="9"/>
      <c r="AJ14"/>
    </row>
    <row r="15" spans="1:67" x14ac:dyDescent="0.25">
      <c r="A15" t="str">
        <f>'ODA-GNI time series'!A18</f>
        <v>1967-68</v>
      </c>
      <c r="B15">
        <v>1180000000</v>
      </c>
      <c r="D15" s="1">
        <f>'ODA-GNI time series'!B18</f>
        <v>139.721</v>
      </c>
      <c r="E15" s="1" t="str">
        <f t="shared" si="4"/>
        <v>1967-68</v>
      </c>
      <c r="F15">
        <f t="shared" si="5"/>
        <v>8.445401908088261</v>
      </c>
      <c r="H15" s="1">
        <f>'ODA-GNI time series'!C18</f>
        <v>28.884</v>
      </c>
      <c r="I15" s="1" t="str">
        <f t="shared" si="6"/>
        <v>1967-68</v>
      </c>
      <c r="J15">
        <f t="shared" si="0"/>
        <v>0.48373147763467667</v>
      </c>
      <c r="K15">
        <f t="shared" si="1"/>
        <v>4.0853067442182525</v>
      </c>
      <c r="M15">
        <f>'ODA-GNI time series'!L18</f>
        <v>7.8818884294440839E-2</v>
      </c>
      <c r="N15" s="1" t="str">
        <f t="shared" si="2"/>
        <v>1967-68</v>
      </c>
      <c r="O15" s="13">
        <f>'ODA-GNI time series'!G18</f>
        <v>1772.6843160840663</v>
      </c>
      <c r="P15">
        <f t="shared" si="3"/>
        <v>14971.031505494508</v>
      </c>
      <c r="R15" s="13"/>
      <c r="AF15" s="9"/>
      <c r="AJ15"/>
    </row>
    <row r="16" spans="1:67" x14ac:dyDescent="0.25">
      <c r="A16" t="str">
        <f>'ODA-GNI time series'!A19</f>
        <v>1968-69</v>
      </c>
      <c r="B16">
        <v>1174000000</v>
      </c>
      <c r="D16" s="1">
        <f>'ODA-GNI time series'!B19</f>
        <v>149.70400000000001</v>
      </c>
      <c r="E16" s="1" t="str">
        <f t="shared" si="4"/>
        <v>1968-69</v>
      </c>
      <c r="F16">
        <f t="shared" si="5"/>
        <v>7.8421418265377003</v>
      </c>
      <c r="H16" s="1">
        <f>'ODA-GNI time series'!C19</f>
        <v>32.216000000000001</v>
      </c>
      <c r="I16" s="1" t="str">
        <f t="shared" si="6"/>
        <v>1968-69</v>
      </c>
      <c r="J16">
        <f t="shared" si="0"/>
        <v>0.46468835361311156</v>
      </c>
      <c r="K16">
        <f t="shared" si="1"/>
        <v>3.6441519741743233</v>
      </c>
      <c r="M16">
        <f>'ODA-GNI time series'!L19</f>
        <v>8.1417309051400433E-2</v>
      </c>
      <c r="N16" s="1" t="str">
        <f t="shared" si="2"/>
        <v>1968-69</v>
      </c>
      <c r="O16" s="13">
        <f>'ODA-GNI time series'!G19</f>
        <v>1838.7244892297874</v>
      </c>
      <c r="P16">
        <f t="shared" si="3"/>
        <v>14419.538224468086</v>
      </c>
      <c r="R16" s="13"/>
      <c r="AF16" s="9"/>
      <c r="AJ16"/>
    </row>
    <row r="17" spans="1:36" x14ac:dyDescent="0.25">
      <c r="A17" t="str">
        <f>'ODA-GNI time series'!A20</f>
        <v>1969-70</v>
      </c>
      <c r="B17">
        <v>1140500000</v>
      </c>
      <c r="D17" s="1">
        <f>'ODA-GNI time series'!B20</f>
        <v>165.726</v>
      </c>
      <c r="E17" s="1" t="str">
        <f t="shared" si="4"/>
        <v>1969-70</v>
      </c>
      <c r="F17">
        <f t="shared" si="5"/>
        <v>6.8818411112317923</v>
      </c>
      <c r="H17" s="1">
        <f>'ODA-GNI time series'!C20</f>
        <v>36.420999999999999</v>
      </c>
      <c r="I17" s="1" t="str">
        <f t="shared" si="6"/>
        <v>1969-70</v>
      </c>
      <c r="J17">
        <f t="shared" si="0"/>
        <v>0.45502869223799458</v>
      </c>
      <c r="K17">
        <f t="shared" si="1"/>
        <v>3.1314351610334699</v>
      </c>
      <c r="M17">
        <f>'ODA-GNI time series'!L20</f>
        <v>8.4015733808359999E-2</v>
      </c>
      <c r="N17" s="1" t="str">
        <f t="shared" si="2"/>
        <v>1969-70</v>
      </c>
      <c r="O17" s="13">
        <f>'ODA-GNI time series'!G20</f>
        <v>1972.5590968237118</v>
      </c>
      <c r="P17">
        <f t="shared" si="3"/>
        <v>13574.838286855673</v>
      </c>
      <c r="R17" s="13"/>
      <c r="AF17" s="9"/>
      <c r="AJ17"/>
    </row>
    <row r="18" spans="1:36" x14ac:dyDescent="0.25">
      <c r="A18" t="str">
        <f>'ODA-GNI time series'!A21</f>
        <v>1970-71</v>
      </c>
      <c r="B18">
        <v>1175500000</v>
      </c>
      <c r="D18" s="1">
        <f>'ODA-GNI time series'!B21</f>
        <v>176.7</v>
      </c>
      <c r="E18" s="1" t="str">
        <f t="shared" si="4"/>
        <v>1970-71</v>
      </c>
      <c r="F18">
        <f t="shared" si="5"/>
        <v>6.6525183927560843</v>
      </c>
      <c r="H18" s="1">
        <f>'ODA-GNI time series'!C21</f>
        <v>39.856000000000002</v>
      </c>
      <c r="I18" s="1" t="str">
        <f t="shared" si="6"/>
        <v>1970-71</v>
      </c>
      <c r="J18">
        <f t="shared" si="0"/>
        <v>0.44334604576475306</v>
      </c>
      <c r="K18">
        <f t="shared" si="1"/>
        <v>2.9493677238057003</v>
      </c>
      <c r="L18">
        <f>'ODA-exp time series'!C4</f>
        <v>7389</v>
      </c>
      <c r="M18">
        <f>'ODA-GNI time series'!L21</f>
        <v>8.8346441736625994E-2</v>
      </c>
      <c r="N18" s="1" t="str">
        <f t="shared" si="2"/>
        <v>1970-71</v>
      </c>
      <c r="O18" s="13">
        <f>'ODA-GNI time series'!G21</f>
        <v>2000.0805525000001</v>
      </c>
      <c r="P18">
        <f t="shared" si="3"/>
        <v>13305.572662500001</v>
      </c>
      <c r="Q18">
        <f t="shared" ref="Q18:Q49" si="7">L18/M18</f>
        <v>83636.645175000012</v>
      </c>
      <c r="R18" s="13"/>
      <c r="AF18" s="9"/>
      <c r="AJ18"/>
    </row>
    <row r="19" spans="1:36" x14ac:dyDescent="0.25">
      <c r="A19" t="str">
        <f>'ODA-GNI time series'!A22</f>
        <v>1971-72</v>
      </c>
      <c r="B19">
        <v>1245000000</v>
      </c>
      <c r="D19" s="1">
        <f>'ODA-GNI time series'!B22</f>
        <v>200.5</v>
      </c>
      <c r="E19" s="1" t="str">
        <f t="shared" si="4"/>
        <v>1971-72</v>
      </c>
      <c r="F19">
        <f t="shared" si="5"/>
        <v>6.2094763092269325</v>
      </c>
      <c r="H19" s="1">
        <f>'ODA-GNI time series'!C22</f>
        <v>44.277999999999999</v>
      </c>
      <c r="I19" s="1" t="str">
        <f t="shared" si="6"/>
        <v>1971-72</v>
      </c>
      <c r="J19">
        <f t="shared" si="0"/>
        <v>0.4528208139482362</v>
      </c>
      <c r="K19">
        <f t="shared" si="1"/>
        <v>2.8117801165364291</v>
      </c>
      <c r="L19">
        <f>'ODA-exp time series'!C5</f>
        <v>8249</v>
      </c>
      <c r="M19">
        <f>'ODA-GNI time series'!L22</f>
        <v>9.4409432836198362E-2</v>
      </c>
      <c r="N19" s="1" t="str">
        <f t="shared" si="2"/>
        <v>1971-72</v>
      </c>
      <c r="O19" s="13">
        <f>'ODA-GNI time series'!G22</f>
        <v>2123.728466284404</v>
      </c>
      <c r="P19">
        <f t="shared" si="3"/>
        <v>13187.241598623856</v>
      </c>
      <c r="Q19">
        <f t="shared" si="7"/>
        <v>87374.743732568822</v>
      </c>
      <c r="R19" s="13"/>
      <c r="AF19" s="9"/>
      <c r="AJ19"/>
    </row>
    <row r="20" spans="1:36" x14ac:dyDescent="0.25">
      <c r="A20" t="str">
        <f>'ODA-GNI time series'!A23</f>
        <v>1972-73</v>
      </c>
      <c r="B20">
        <v>1305500000</v>
      </c>
      <c r="D20" s="1">
        <f>'ODA-GNI time series'!B23</f>
        <v>219.2</v>
      </c>
      <c r="E20" s="1" t="str">
        <f t="shared" si="4"/>
        <v>1972-73</v>
      </c>
      <c r="F20">
        <f t="shared" si="5"/>
        <v>5.9557481751824826</v>
      </c>
      <c r="H20" s="1">
        <f>'ODA-GNI time series'!C23</f>
        <v>49.764000000000003</v>
      </c>
      <c r="I20" s="1" t="str">
        <f t="shared" si="6"/>
        <v>1972-73</v>
      </c>
      <c r="J20">
        <f t="shared" si="0"/>
        <v>0.44047906116871632</v>
      </c>
      <c r="K20">
        <f t="shared" si="1"/>
        <v>2.6233823647616754</v>
      </c>
      <c r="L20">
        <f>'ODA-exp time series'!C6</f>
        <v>9388</v>
      </c>
      <c r="M20">
        <f>'ODA-GNI time series'!L23</f>
        <v>0.10220470710707716</v>
      </c>
      <c r="N20" s="1" t="str">
        <f t="shared" si="2"/>
        <v>1972-73</v>
      </c>
      <c r="O20" s="13">
        <f>'ODA-GNI time series'!G23</f>
        <v>2144.715309152542</v>
      </c>
      <c r="P20">
        <f t="shared" si="3"/>
        <v>12773.384288771185</v>
      </c>
      <c r="Q20">
        <f t="shared" si="7"/>
        <v>91854.869171186423</v>
      </c>
      <c r="R20" s="13"/>
      <c r="AF20" s="9"/>
      <c r="AJ20"/>
    </row>
    <row r="21" spans="1:36" x14ac:dyDescent="0.25">
      <c r="A21" t="str">
        <f>'ODA-GNI time series'!A24</f>
        <v>1973-74</v>
      </c>
      <c r="B21">
        <v>1482000000</v>
      </c>
      <c r="D21" s="1">
        <f>'ODA-GNI time series'!B24</f>
        <v>264.89999999999998</v>
      </c>
      <c r="E21" s="1" t="str">
        <f t="shared" si="4"/>
        <v>1973-74</v>
      </c>
      <c r="F21">
        <f t="shared" si="5"/>
        <v>5.594563986409967</v>
      </c>
      <c r="H21" s="1">
        <f>'ODA-GNI time series'!C24</f>
        <v>60.05</v>
      </c>
      <c r="I21" s="1" t="str">
        <f t="shared" si="6"/>
        <v>1973-74</v>
      </c>
      <c r="J21">
        <f t="shared" si="0"/>
        <v>0.44113238967527063</v>
      </c>
      <c r="K21">
        <f t="shared" si="1"/>
        <v>2.4679433805162372</v>
      </c>
      <c r="L21">
        <f>'ODA-exp time series'!C7</f>
        <v>11078</v>
      </c>
      <c r="M21">
        <f>'ODA-GNI time series'!L24</f>
        <v>0.11692911406318146</v>
      </c>
      <c r="N21" s="1" t="str">
        <f t="shared" si="2"/>
        <v>1973-74</v>
      </c>
      <c r="O21" s="13">
        <f>'ODA-GNI time series'!G24</f>
        <v>2265.4751310000001</v>
      </c>
      <c r="P21">
        <f t="shared" si="3"/>
        <v>12674.345580000003</v>
      </c>
      <c r="Q21">
        <f t="shared" si="7"/>
        <v>94741.160820000019</v>
      </c>
      <c r="R21" s="13"/>
      <c r="AF21" s="9"/>
      <c r="AJ21"/>
    </row>
    <row r="22" spans="1:36" x14ac:dyDescent="0.25">
      <c r="A22" t="str">
        <f>'ODA-GNI time series'!A25</f>
        <v>1974-75</v>
      </c>
      <c r="B22">
        <v>1733000000</v>
      </c>
      <c r="D22" s="1">
        <f>'ODA-GNI time series'!B25</f>
        <v>334.6</v>
      </c>
      <c r="E22" s="1" t="str">
        <f t="shared" si="4"/>
        <v>1974-75</v>
      </c>
      <c r="F22">
        <f t="shared" si="5"/>
        <v>5.1793185893604301</v>
      </c>
      <c r="H22" s="1">
        <f>'ODA-GNI time series'!C25</f>
        <v>71.3</v>
      </c>
      <c r="I22" s="1" t="str">
        <f t="shared" si="6"/>
        <v>1974-75</v>
      </c>
      <c r="J22">
        <f t="shared" si="0"/>
        <v>0.4692847124824685</v>
      </c>
      <c r="K22">
        <f t="shared" si="1"/>
        <v>2.4305750350631139</v>
      </c>
      <c r="L22">
        <f>'ODA-exp time series'!C8</f>
        <v>15463</v>
      </c>
      <c r="M22">
        <f>'ODA-GNI time series'!L25</f>
        <v>0.13685037053320495</v>
      </c>
      <c r="N22" s="1" t="str">
        <f t="shared" si="2"/>
        <v>1974-75</v>
      </c>
      <c r="O22" s="13">
        <f>'ODA-GNI time series'!G25</f>
        <v>2445.0061676582286</v>
      </c>
      <c r="P22">
        <f t="shared" si="3"/>
        <v>12663.465895253168</v>
      </c>
      <c r="Q22">
        <f t="shared" si="7"/>
        <v>112992.02143006332</v>
      </c>
      <c r="R22" s="13"/>
      <c r="AF22" s="9"/>
      <c r="AJ22"/>
    </row>
    <row r="23" spans="1:36" x14ac:dyDescent="0.25">
      <c r="A23" t="str">
        <f>'ODA-GNI time series'!A26</f>
        <v>1975-76</v>
      </c>
      <c r="B23">
        <v>1997500000</v>
      </c>
      <c r="D23" s="1">
        <f>'ODA-GNI time series'!B26</f>
        <v>356</v>
      </c>
      <c r="E23" s="1" t="str">
        <f t="shared" si="4"/>
        <v>1975-76</v>
      </c>
      <c r="F23">
        <f t="shared" si="5"/>
        <v>5.6109550561797752</v>
      </c>
      <c r="H23" s="1">
        <f>'ODA-GNI time series'!C26</f>
        <v>83.221000000000004</v>
      </c>
      <c r="I23" s="1" t="str">
        <f t="shared" si="6"/>
        <v>1975-76</v>
      </c>
      <c r="J23">
        <f t="shared" si="0"/>
        <v>0.42777664291464895</v>
      </c>
      <c r="K23">
        <f t="shared" si="1"/>
        <v>2.4002355174775598</v>
      </c>
      <c r="L23">
        <f>'ODA-exp time series'!C9</f>
        <v>20225</v>
      </c>
      <c r="M23">
        <f>'ODA-GNI time series'!L26</f>
        <v>0.1533070606606157</v>
      </c>
      <c r="N23" s="1" t="str">
        <f t="shared" si="2"/>
        <v>1975-76</v>
      </c>
      <c r="O23" s="13">
        <f>'ODA-GNI time series'!G26</f>
        <v>2322.1370135593224</v>
      </c>
      <c r="P23">
        <f t="shared" si="3"/>
        <v>13029.406417372884</v>
      </c>
      <c r="Q23">
        <f t="shared" si="7"/>
        <v>131924.7783686441</v>
      </c>
      <c r="R23" s="13"/>
      <c r="AF23" s="9"/>
      <c r="AJ23"/>
    </row>
    <row r="24" spans="1:36" x14ac:dyDescent="0.25">
      <c r="A24" t="str">
        <f>'ODA-GNI time series'!A27</f>
        <v>1976-77</v>
      </c>
      <c r="B24">
        <v>2255000000</v>
      </c>
      <c r="D24" s="1">
        <f>'ODA-GNI time series'!B27</f>
        <v>386.2</v>
      </c>
      <c r="E24" s="1" t="str">
        <f t="shared" si="4"/>
        <v>1976-77</v>
      </c>
      <c r="F24">
        <f t="shared" si="5"/>
        <v>5.838943552563439</v>
      </c>
      <c r="H24" s="1">
        <f>'ODA-GNI time series'!C27</f>
        <v>95.379000000000005</v>
      </c>
      <c r="I24" s="1" t="str">
        <f t="shared" si="6"/>
        <v>1976-77</v>
      </c>
      <c r="J24">
        <f t="shared" si="0"/>
        <v>0.40491093427274344</v>
      </c>
      <c r="K24">
        <f t="shared" si="1"/>
        <v>2.3642520890342738</v>
      </c>
      <c r="L24">
        <f>'ODA-exp time series'!C10</f>
        <v>23157</v>
      </c>
      <c r="M24">
        <f>'ODA-GNI time series'!L27</f>
        <v>0.17409445871629245</v>
      </c>
      <c r="N24" s="1" t="str">
        <f t="shared" si="2"/>
        <v>1976-77</v>
      </c>
      <c r="O24" s="13">
        <f>'ODA-GNI time series'!G27</f>
        <v>2218.3359702985072</v>
      </c>
      <c r="P24">
        <f t="shared" si="3"/>
        <v>12952.738511194029</v>
      </c>
      <c r="Q24">
        <f t="shared" si="7"/>
        <v>133013.99809477609</v>
      </c>
      <c r="R24" s="13"/>
      <c r="AF24" s="9"/>
      <c r="AJ24"/>
    </row>
    <row r="25" spans="1:36" x14ac:dyDescent="0.25">
      <c r="A25" t="str">
        <f>'ODA-GNI time series'!A28</f>
        <v>1977-78</v>
      </c>
      <c r="B25">
        <v>2460500000</v>
      </c>
      <c r="D25" s="1">
        <f>'ODA-GNI time series'!B28</f>
        <v>426.1</v>
      </c>
      <c r="E25" s="1" t="str">
        <f t="shared" si="4"/>
        <v>1977-78</v>
      </c>
      <c r="F25">
        <f t="shared" si="5"/>
        <v>5.7744660877728231</v>
      </c>
      <c r="H25" s="1">
        <f>'ODA-GNI time series'!C28</f>
        <v>103.63200000000001</v>
      </c>
      <c r="I25" s="1" t="str">
        <f t="shared" si="6"/>
        <v>1977-78</v>
      </c>
      <c r="J25">
        <f t="shared" si="0"/>
        <v>0.41116643507796818</v>
      </c>
      <c r="K25">
        <f t="shared" si="1"/>
        <v>2.3742666357881732</v>
      </c>
      <c r="L25">
        <f>'ODA-exp time series'!C11</f>
        <v>26057</v>
      </c>
      <c r="M25">
        <f>'ODA-GNI time series'!L28</f>
        <v>0.18795272408674349</v>
      </c>
      <c r="N25" s="1" t="str">
        <f t="shared" si="2"/>
        <v>1977-78</v>
      </c>
      <c r="O25" s="13">
        <f>'ODA-GNI time series'!G28</f>
        <v>2267.0594537557613</v>
      </c>
      <c r="P25">
        <f t="shared" si="3"/>
        <v>13091.057934677425</v>
      </c>
      <c r="Q25">
        <f t="shared" si="7"/>
        <v>138635.92627672816</v>
      </c>
      <c r="R25" s="13"/>
      <c r="AF25" s="9"/>
      <c r="AJ25"/>
    </row>
    <row r="26" spans="1:36" x14ac:dyDescent="0.25">
      <c r="A26" t="str">
        <f>'ODA-GNI time series'!A29</f>
        <v>1978-79</v>
      </c>
      <c r="B26">
        <v>2774000000</v>
      </c>
      <c r="D26" s="1">
        <f>'ODA-GNI time series'!B29</f>
        <v>468.4</v>
      </c>
      <c r="E26" s="1" t="str">
        <f t="shared" si="4"/>
        <v>1978-79</v>
      </c>
      <c r="F26">
        <f t="shared" si="5"/>
        <v>5.9222886421861656</v>
      </c>
      <c r="H26" s="1">
        <f>'ODA-GNI time series'!C29</f>
        <v>117.11199999999999</v>
      </c>
      <c r="I26" s="1" t="str">
        <f t="shared" si="6"/>
        <v>1978-79</v>
      </c>
      <c r="J26">
        <f t="shared" si="0"/>
        <v>0.39995901359382474</v>
      </c>
      <c r="K26">
        <f t="shared" si="1"/>
        <v>2.3686727235466907</v>
      </c>
      <c r="L26">
        <f>'ODA-exp time series'!C12</f>
        <v>28272</v>
      </c>
      <c r="M26">
        <f>'ODA-GNI time series'!L29</f>
        <v>0.20440941421415429</v>
      </c>
      <c r="N26" s="1" t="str">
        <f t="shared" si="2"/>
        <v>1978-79</v>
      </c>
      <c r="O26" s="13">
        <f>'ODA-GNI time series'!G29</f>
        <v>2291.4795866949153</v>
      </c>
      <c r="P26">
        <f t="shared" si="3"/>
        <v>13570.803530084746</v>
      </c>
      <c r="Q26">
        <f t="shared" si="7"/>
        <v>138310.65515593221</v>
      </c>
      <c r="R26" s="13"/>
      <c r="AF26" s="9"/>
      <c r="AJ26"/>
    </row>
    <row r="27" spans="1:36" x14ac:dyDescent="0.25">
      <c r="A27" t="str">
        <f>'ODA-GNI time series'!A30</f>
        <v>1979-80</v>
      </c>
      <c r="B27">
        <v>3212500000</v>
      </c>
      <c r="D27" s="1">
        <f>'ODA-GNI time series'!B30</f>
        <v>508.7</v>
      </c>
      <c r="E27" s="1" t="str">
        <f t="shared" si="4"/>
        <v>1979-80</v>
      </c>
      <c r="F27">
        <f t="shared" si="5"/>
        <v>6.3151169648122663</v>
      </c>
      <c r="H27" s="1">
        <f>'ODA-GNI time series'!C30</f>
        <v>132.983</v>
      </c>
      <c r="I27" s="1" t="str">
        <f t="shared" si="6"/>
        <v>1979-80</v>
      </c>
      <c r="J27">
        <f t="shared" si="0"/>
        <v>0.38253009783205372</v>
      </c>
      <c r="K27">
        <f t="shared" si="1"/>
        <v>2.4157223103704983</v>
      </c>
      <c r="L27">
        <f>'ODA-exp time series'!C13</f>
        <v>31642</v>
      </c>
      <c r="M27">
        <f>'ODA-GNI time series'!L30</f>
        <v>0.22692909544113735</v>
      </c>
      <c r="N27" s="1" t="str">
        <f t="shared" si="2"/>
        <v>1979-80</v>
      </c>
      <c r="O27" s="13">
        <f>'ODA-GNI time series'!G30</f>
        <v>2241.6693593702294</v>
      </c>
      <c r="P27">
        <f t="shared" si="3"/>
        <v>14156.40420085878</v>
      </c>
      <c r="Q27">
        <f t="shared" si="7"/>
        <v>139435.62388282444</v>
      </c>
      <c r="R27" s="13"/>
      <c r="AF27" s="9"/>
      <c r="AJ27"/>
    </row>
    <row r="28" spans="1:36" x14ac:dyDescent="0.25">
      <c r="A28" t="str">
        <f>'ODA-GNI time series'!A31</f>
        <v>1980-81</v>
      </c>
      <c r="B28">
        <v>3762500000</v>
      </c>
      <c r="D28" s="1">
        <f>'ODA-GNI time series'!B31</f>
        <v>568</v>
      </c>
      <c r="E28" s="1" t="str">
        <f t="shared" si="4"/>
        <v>1980-81</v>
      </c>
      <c r="F28">
        <f t="shared" si="5"/>
        <v>6.624119718309859</v>
      </c>
      <c r="H28" s="1">
        <f>'ODA-GNI time series'!C31</f>
        <v>151.60300000000001</v>
      </c>
      <c r="I28" s="1" t="str">
        <f t="shared" si="6"/>
        <v>1980-81</v>
      </c>
      <c r="J28">
        <f t="shared" si="0"/>
        <v>0.37466277052564922</v>
      </c>
      <c r="K28">
        <f t="shared" si="1"/>
        <v>2.4818110459555549</v>
      </c>
      <c r="L28">
        <f>'ODA-exp time series'!C14</f>
        <v>36176</v>
      </c>
      <c r="M28">
        <f>'ODA-GNI time series'!L31</f>
        <v>0.24598421032550766</v>
      </c>
      <c r="N28" s="1" t="str">
        <f t="shared" si="2"/>
        <v>1980-81</v>
      </c>
      <c r="O28" s="13">
        <f>'ODA-GNI time series'!G31</f>
        <v>2309.0913000000005</v>
      </c>
      <c r="P28">
        <f t="shared" si="3"/>
        <v>15295.697211707749</v>
      </c>
      <c r="Q28">
        <f t="shared" si="7"/>
        <v>147066.35012112677</v>
      </c>
      <c r="R28" s="13"/>
      <c r="AF28" s="9"/>
      <c r="AJ28"/>
    </row>
    <row r="29" spans="1:36" x14ac:dyDescent="0.25">
      <c r="A29" t="str">
        <f>'ODA-GNI time series'!A32</f>
        <v>1981-82</v>
      </c>
      <c r="B29">
        <v>4396500000</v>
      </c>
      <c r="D29" s="1">
        <f>'ODA-GNI time series'!B32</f>
        <v>658</v>
      </c>
      <c r="E29" s="1" t="str">
        <f t="shared" si="4"/>
        <v>1981-82</v>
      </c>
      <c r="F29">
        <f t="shared" si="5"/>
        <v>6.6816109422492405</v>
      </c>
      <c r="H29" s="1">
        <f>'ODA-GNI time series'!C32</f>
        <v>172.238</v>
      </c>
      <c r="I29" s="1" t="str">
        <f t="shared" si="6"/>
        <v>1981-82</v>
      </c>
      <c r="J29">
        <f t="shared" si="0"/>
        <v>0.38202951729583484</v>
      </c>
      <c r="K29">
        <f t="shared" si="1"/>
        <v>2.5525726030260456</v>
      </c>
      <c r="L29">
        <f>'ODA-exp time series'!C15</f>
        <v>41151</v>
      </c>
      <c r="M29">
        <f>'ODA-GNI time series'!L32</f>
        <v>0.27283459948075672</v>
      </c>
      <c r="N29" s="1" t="str">
        <f t="shared" si="2"/>
        <v>1981-82</v>
      </c>
      <c r="O29" s="13">
        <f>'ODA-GNI time series'!G32</f>
        <v>2411.7175800000005</v>
      </c>
      <c r="P29">
        <f t="shared" si="3"/>
        <v>16114.158572142862</v>
      </c>
      <c r="Q29">
        <f t="shared" si="7"/>
        <v>150827.64458142861</v>
      </c>
      <c r="R29" s="13"/>
      <c r="AF29" s="9"/>
      <c r="AJ29"/>
    </row>
    <row r="30" spans="1:36" x14ac:dyDescent="0.25">
      <c r="A30" t="str">
        <f>'ODA-GNI time series'!A33</f>
        <v>1982-83</v>
      </c>
      <c r="B30">
        <v>5008000000</v>
      </c>
      <c r="D30" s="1">
        <f>'ODA-GNI time series'!B33</f>
        <v>744.6</v>
      </c>
      <c r="E30" s="1" t="str">
        <f t="shared" si="4"/>
        <v>1982-83</v>
      </c>
      <c r="F30">
        <f t="shared" si="5"/>
        <v>6.7257587966693526</v>
      </c>
      <c r="H30" s="1">
        <f>'ODA-GNI time series'!C33</f>
        <v>187.68199999999999</v>
      </c>
      <c r="I30" s="1" t="str">
        <f t="shared" si="6"/>
        <v>1982-83</v>
      </c>
      <c r="J30">
        <f t="shared" si="0"/>
        <v>0.39673490265449007</v>
      </c>
      <c r="K30">
        <f t="shared" si="1"/>
        <v>2.6683432614741958</v>
      </c>
      <c r="L30">
        <f>'ODA-exp time series'!C16</f>
        <v>48810</v>
      </c>
      <c r="M30">
        <f>'ODA-GNI time series'!L33</f>
        <v>0.29708656387904625</v>
      </c>
      <c r="N30" s="1" t="str">
        <f t="shared" si="2"/>
        <v>1982-83</v>
      </c>
      <c r="O30" s="13">
        <f>'ODA-GNI time series'!G33</f>
        <v>2506.3402069679305</v>
      </c>
      <c r="P30">
        <f t="shared" si="3"/>
        <v>16857.039694460644</v>
      </c>
      <c r="Q30">
        <f t="shared" si="7"/>
        <v>164295.54861953354</v>
      </c>
      <c r="R30" s="13"/>
      <c r="AF30" s="9"/>
      <c r="AJ30"/>
    </row>
    <row r="31" spans="1:36" x14ac:dyDescent="0.25">
      <c r="A31" t="str">
        <f>'ODA-GNI time series'!A34</f>
        <v>1983-84</v>
      </c>
      <c r="B31">
        <v>5612500000</v>
      </c>
      <c r="D31" s="1">
        <f>'ODA-GNI time series'!B34</f>
        <v>931.8</v>
      </c>
      <c r="E31" s="1" t="str">
        <f t="shared" si="4"/>
        <v>1983-84</v>
      </c>
      <c r="F31">
        <f t="shared" si="5"/>
        <v>6.0232882592831087</v>
      </c>
      <c r="H31" s="1">
        <f>'ODA-GNI time series'!C34</f>
        <v>210.77799999999999</v>
      </c>
      <c r="I31" s="1" t="str">
        <f t="shared" si="6"/>
        <v>1983-84</v>
      </c>
      <c r="J31">
        <f t="shared" si="0"/>
        <v>0.44207649754718237</v>
      </c>
      <c r="K31">
        <f t="shared" si="1"/>
        <v>2.6627541773809416</v>
      </c>
      <c r="L31">
        <f>'ODA-exp time series'!C17</f>
        <v>56990</v>
      </c>
      <c r="M31">
        <f>'ODA-GNI time series'!L34</f>
        <v>0.3152755371777633</v>
      </c>
      <c r="N31" s="1" t="str">
        <f t="shared" si="2"/>
        <v>1983-84</v>
      </c>
      <c r="O31" s="13">
        <f>'ODA-GNI time series'!G34</f>
        <v>2955.509990851649</v>
      </c>
      <c r="P31">
        <f t="shared" si="3"/>
        <v>17801.888628090666</v>
      </c>
      <c r="Q31">
        <f t="shared" si="7"/>
        <v>180762.51811401104</v>
      </c>
      <c r="R31" s="13"/>
      <c r="AF31" s="9"/>
      <c r="AJ31"/>
    </row>
    <row r="32" spans="1:36" x14ac:dyDescent="0.25">
      <c r="A32" t="str">
        <f>'ODA-GNI time series'!A35</f>
        <v>1984-85</v>
      </c>
      <c r="B32">
        <v>6281500000</v>
      </c>
      <c r="D32" s="1">
        <f>'ODA-GNI time series'!B35</f>
        <v>1011.403</v>
      </c>
      <c r="E32" s="1" t="str">
        <f t="shared" si="4"/>
        <v>1984-85</v>
      </c>
      <c r="F32">
        <f t="shared" si="5"/>
        <v>6.2106796202898353</v>
      </c>
      <c r="H32" s="1">
        <f>'ODA-GNI time series'!C35</f>
        <v>231.66200000000001</v>
      </c>
      <c r="I32" s="1" t="str">
        <f t="shared" si="6"/>
        <v>1984-85</v>
      </c>
      <c r="J32">
        <f t="shared" si="0"/>
        <v>0.43658562906303144</v>
      </c>
      <c r="K32">
        <f t="shared" si="1"/>
        <v>2.7114934689331869</v>
      </c>
      <c r="L32">
        <f>'ODA-exp time series'!C18</f>
        <v>64853</v>
      </c>
      <c r="M32">
        <f>'ODA-GNI time series'!L35</f>
        <v>0.33606293523343994</v>
      </c>
      <c r="N32" s="1" t="str">
        <f t="shared" si="2"/>
        <v>1984-85</v>
      </c>
      <c r="O32" s="13">
        <f>'ODA-GNI time series'!G35</f>
        <v>3009.5642630076045</v>
      </c>
      <c r="P32">
        <f t="shared" si="3"/>
        <v>18691.439434213928</v>
      </c>
      <c r="Q32">
        <f t="shared" si="7"/>
        <v>192978.73463775782</v>
      </c>
      <c r="R32" s="13"/>
      <c r="AF32" s="9"/>
      <c r="AJ32"/>
    </row>
    <row r="33" spans="1:36" x14ac:dyDescent="0.25">
      <c r="A33" t="str">
        <f>'ODA-GNI time series'!A36</f>
        <v>1985-86</v>
      </c>
      <c r="B33">
        <v>6891500000</v>
      </c>
      <c r="D33" s="1">
        <f>'ODA-GNI time series'!B36</f>
        <v>1030.9639999999999</v>
      </c>
      <c r="E33" s="1" t="str">
        <f t="shared" si="4"/>
        <v>1985-86</v>
      </c>
      <c r="F33">
        <f t="shared" si="5"/>
        <v>6.684520507020614</v>
      </c>
      <c r="H33" s="1">
        <f>'ODA-GNI time series'!C36</f>
        <v>255.59399999999999</v>
      </c>
      <c r="I33" s="1" t="str">
        <f t="shared" si="6"/>
        <v>1985-86</v>
      </c>
      <c r="J33">
        <f t="shared" si="0"/>
        <v>0.40336001627581242</v>
      </c>
      <c r="K33">
        <f t="shared" si="1"/>
        <v>2.6962683005078367</v>
      </c>
      <c r="L33">
        <f>'ODA-exp time series'!C19</f>
        <v>71328</v>
      </c>
      <c r="M33">
        <f>'ODA-GNI time series'!L36</f>
        <v>0.36464560755999553</v>
      </c>
      <c r="N33" s="1" t="str">
        <f t="shared" si="2"/>
        <v>1985-86</v>
      </c>
      <c r="O33" s="13">
        <f>'ODA-GNI time series'!G36</f>
        <v>2827.304041583373</v>
      </c>
      <c r="P33">
        <f t="shared" si="3"/>
        <v>18899.17184554632</v>
      </c>
      <c r="Q33">
        <f t="shared" si="7"/>
        <v>195609.10243040381</v>
      </c>
      <c r="R33" s="13"/>
      <c r="AF33" s="9"/>
      <c r="AJ33"/>
    </row>
    <row r="34" spans="1:36" x14ac:dyDescent="0.25">
      <c r="A34" t="str">
        <f>'ODA-GNI time series'!A37</f>
        <v>1986-87</v>
      </c>
      <c r="B34">
        <v>7222500000</v>
      </c>
      <c r="D34" s="1">
        <f>'ODA-GNI time series'!B37</f>
        <v>975.61599999999999</v>
      </c>
      <c r="E34" s="1" t="str">
        <f t="shared" si="4"/>
        <v>1986-87</v>
      </c>
      <c r="F34">
        <f t="shared" si="5"/>
        <v>7.4030151207032278</v>
      </c>
      <c r="H34" s="1">
        <f>'ODA-GNI time series'!C37</f>
        <v>280.48</v>
      </c>
      <c r="I34" s="1" t="str">
        <f t="shared" si="6"/>
        <v>1986-87</v>
      </c>
      <c r="J34">
        <f t="shared" si="0"/>
        <v>0.34783799201369081</v>
      </c>
      <c r="K34">
        <f t="shared" si="1"/>
        <v>2.5750499144324017</v>
      </c>
      <c r="L34">
        <f>'ODA-exp time series'!C20</f>
        <v>77158</v>
      </c>
      <c r="M34">
        <f>'ODA-GNI time series'!L37</f>
        <v>0.39842512940047015</v>
      </c>
      <c r="N34" s="1" t="str">
        <f t="shared" si="2"/>
        <v>1986-87</v>
      </c>
      <c r="O34" s="13">
        <f>'ODA-GNI time series'!G37</f>
        <v>2448.6808888486962</v>
      </c>
      <c r="P34">
        <f t="shared" si="3"/>
        <v>18127.621645923919</v>
      </c>
      <c r="Q34">
        <f t="shared" si="7"/>
        <v>193657.46361456526</v>
      </c>
      <c r="R34" s="13"/>
      <c r="AF34" s="9"/>
      <c r="AJ34"/>
    </row>
    <row r="35" spans="1:36" x14ac:dyDescent="0.25">
      <c r="A35" t="str">
        <f>'ODA-GNI time series'!A38</f>
        <v>1987-88</v>
      </c>
      <c r="B35">
        <v>7470000000</v>
      </c>
      <c r="D35" s="1">
        <f>'ODA-GNI time series'!B38</f>
        <v>1019.561</v>
      </c>
      <c r="E35" s="1" t="str">
        <f t="shared" si="4"/>
        <v>1987-88</v>
      </c>
      <c r="F35">
        <f t="shared" si="5"/>
        <v>7.3266827585598113</v>
      </c>
      <c r="H35" s="1">
        <f>'ODA-GNI time series'!C38</f>
        <v>317.803</v>
      </c>
      <c r="I35" s="1" t="str">
        <f t="shared" si="6"/>
        <v>1987-88</v>
      </c>
      <c r="J35">
        <f t="shared" si="0"/>
        <v>0.3208154108048068</v>
      </c>
      <c r="K35">
        <f t="shared" si="1"/>
        <v>2.3505127390238609</v>
      </c>
      <c r="L35">
        <f>'ODA-exp time series'!C21</f>
        <v>82039</v>
      </c>
      <c r="M35">
        <f>'ODA-GNI time series'!L38</f>
        <v>0.42700780172702552</v>
      </c>
      <c r="N35" s="1" t="str">
        <f t="shared" si="2"/>
        <v>1987-88</v>
      </c>
      <c r="O35" s="13">
        <f>'ODA-GNI time series'!G38</f>
        <v>2387.6870536706906</v>
      </c>
      <c r="P35">
        <f t="shared" si="3"/>
        <v>17493.825568965523</v>
      </c>
      <c r="Q35">
        <f t="shared" si="7"/>
        <v>192125.29529482767</v>
      </c>
      <c r="R35" s="13"/>
      <c r="AF35" s="9"/>
      <c r="AJ35"/>
    </row>
    <row r="36" spans="1:36" x14ac:dyDescent="0.25">
      <c r="A36" t="str">
        <f>'ODA-GNI time series'!A39</f>
        <v>1988-89</v>
      </c>
      <c r="B36">
        <v>7967000000</v>
      </c>
      <c r="D36" s="1">
        <f>'ODA-GNI time series'!B39</f>
        <v>1194.6289999999999</v>
      </c>
      <c r="E36" s="1" t="str">
        <f t="shared" si="4"/>
        <v>1988-89</v>
      </c>
      <c r="F36">
        <f t="shared" si="5"/>
        <v>6.6690160710982243</v>
      </c>
      <c r="H36" s="1">
        <f>'ODA-GNI time series'!C39</f>
        <v>357.38600000000002</v>
      </c>
      <c r="I36" s="1" t="str">
        <f t="shared" si="6"/>
        <v>1988-89</v>
      </c>
      <c r="J36">
        <f t="shared" si="0"/>
        <v>0.33426854997117961</v>
      </c>
      <c r="K36">
        <f t="shared" si="1"/>
        <v>2.2292423318204966</v>
      </c>
      <c r="L36">
        <f>'ODA-exp time series'!C22</f>
        <v>85326</v>
      </c>
      <c r="M36">
        <f>'ODA-GNI time series'!L39</f>
        <v>0.45905504039619394</v>
      </c>
      <c r="N36" s="1" t="str">
        <f t="shared" si="2"/>
        <v>1988-89</v>
      </c>
      <c r="O36" s="13">
        <f>'ODA-GNI time series'!G39</f>
        <v>2602.3655005921696</v>
      </c>
      <c r="P36">
        <f t="shared" si="3"/>
        <v>17355.217346320755</v>
      </c>
      <c r="Q36">
        <f t="shared" si="7"/>
        <v>185873.13609792452</v>
      </c>
      <c r="R36" s="13"/>
      <c r="AF36" s="9"/>
      <c r="AJ36"/>
    </row>
    <row r="37" spans="1:36" x14ac:dyDescent="0.25">
      <c r="A37" t="str">
        <f>'ODA-GNI time series'!A40</f>
        <v>1989-90</v>
      </c>
      <c r="B37">
        <v>8588500000</v>
      </c>
      <c r="D37" s="1">
        <f>'ODA-GNI time series'!B40</f>
        <v>1173.8019999999999</v>
      </c>
      <c r="E37" s="1" t="str">
        <f t="shared" si="4"/>
        <v>1989-90</v>
      </c>
      <c r="F37">
        <f t="shared" si="5"/>
        <v>7.3168217467681949</v>
      </c>
      <c r="H37" s="1">
        <f>'ODA-GNI time series'!C40</f>
        <v>389.58600000000001</v>
      </c>
      <c r="I37" s="1" t="str">
        <f t="shared" si="6"/>
        <v>1989-90</v>
      </c>
      <c r="J37">
        <f t="shared" si="0"/>
        <v>0.30129470771536965</v>
      </c>
      <c r="K37">
        <f t="shared" si="1"/>
        <v>2.2045196695979836</v>
      </c>
      <c r="L37">
        <f>'ODA-exp time series'!C23</f>
        <v>92684</v>
      </c>
      <c r="M37">
        <f>'ODA-GNI time series'!L40</f>
        <v>0.49456684540797491</v>
      </c>
      <c r="N37" s="1" t="str">
        <f t="shared" si="2"/>
        <v>1989-90</v>
      </c>
      <c r="O37" s="13">
        <f>'ODA-GNI time series'!G40</f>
        <v>2373.394033382312</v>
      </c>
      <c r="P37">
        <f t="shared" si="3"/>
        <v>17365.701077101581</v>
      </c>
      <c r="Q37">
        <f t="shared" si="7"/>
        <v>187404.39408861651</v>
      </c>
      <c r="R37" s="13"/>
      <c r="AF37" s="9"/>
      <c r="AJ37"/>
    </row>
    <row r="38" spans="1:36" x14ac:dyDescent="0.25">
      <c r="A38" t="str">
        <f>'ODA-GNI time series'!A41</f>
        <v>1990-91</v>
      </c>
      <c r="B38">
        <v>9016500000</v>
      </c>
      <c r="D38" s="1">
        <f>'ODA-GNI time series'!B41</f>
        <v>1261.04</v>
      </c>
      <c r="E38" s="1" t="str">
        <f t="shared" si="4"/>
        <v>1990-91</v>
      </c>
      <c r="F38">
        <f t="shared" si="5"/>
        <v>7.1500507517604523</v>
      </c>
      <c r="H38" s="1">
        <f>'ODA-GNI time series'!C41</f>
        <v>397.61599999999999</v>
      </c>
      <c r="I38" s="1" t="str">
        <f t="shared" si="6"/>
        <v>1990-91</v>
      </c>
      <c r="J38">
        <f t="shared" si="0"/>
        <v>0.31715021528308723</v>
      </c>
      <c r="K38">
        <f t="shared" si="1"/>
        <v>2.2676401352058271</v>
      </c>
      <c r="L38">
        <f>'ODA-exp time series'!C24</f>
        <v>100665</v>
      </c>
      <c r="M38">
        <f>'ODA-GNI time series'!L41</f>
        <v>0.5110235355353856</v>
      </c>
      <c r="N38" s="1" t="str">
        <f t="shared" si="2"/>
        <v>1990-91</v>
      </c>
      <c r="O38" s="13">
        <f>'ODA-GNI time series'!G41</f>
        <v>2467.6749940271193</v>
      </c>
      <c r="P38">
        <f t="shared" si="3"/>
        <v>17644.001446144073</v>
      </c>
      <c r="Q38">
        <f t="shared" si="7"/>
        <v>196987.01331737294</v>
      </c>
      <c r="R38" s="13"/>
      <c r="AF38" s="9"/>
      <c r="AJ38"/>
    </row>
    <row r="39" spans="1:36" x14ac:dyDescent="0.25">
      <c r="A39" t="str">
        <f>'ODA-GNI time series'!A42</f>
        <v>1991-92</v>
      </c>
      <c r="B39">
        <v>9371000000</v>
      </c>
      <c r="D39" s="1">
        <f>'ODA-GNI time series'!B42</f>
        <v>1330.2629999999999</v>
      </c>
      <c r="E39" s="1" t="str">
        <f t="shared" si="4"/>
        <v>1991-92</v>
      </c>
      <c r="F39">
        <f t="shared" si="5"/>
        <v>7.0444716571084065</v>
      </c>
      <c r="H39" s="1">
        <f>'ODA-GNI time series'!C42</f>
        <v>405.89699999999999</v>
      </c>
      <c r="I39" s="1" t="str">
        <f t="shared" si="6"/>
        <v>1991-92</v>
      </c>
      <c r="J39">
        <f t="shared" si="0"/>
        <v>0.32773412959445375</v>
      </c>
      <c r="K39">
        <f t="shared" si="1"/>
        <v>2.3087137869952228</v>
      </c>
      <c r="L39">
        <f>'ODA-exp time series'!C25</f>
        <v>108472</v>
      </c>
      <c r="M39">
        <f>'ODA-GNI time series'!L42</f>
        <v>0.51708652663495813</v>
      </c>
      <c r="N39" s="1" t="str">
        <f t="shared" si="2"/>
        <v>1991-92</v>
      </c>
      <c r="O39" s="13">
        <f>'ODA-GNI time series'!G42</f>
        <v>2572.6119933097989</v>
      </c>
      <c r="P39">
        <f t="shared" si="3"/>
        <v>18122.692271608041</v>
      </c>
      <c r="Q39">
        <f t="shared" si="7"/>
        <v>209775.33625929645</v>
      </c>
      <c r="R39" s="13"/>
      <c r="AF39" s="9"/>
      <c r="AJ39"/>
    </row>
    <row r="40" spans="1:36" x14ac:dyDescent="0.25">
      <c r="A40" t="str">
        <f>'ODA-GNI time series'!A43</f>
        <v>1992-93</v>
      </c>
      <c r="B40">
        <v>9902500000</v>
      </c>
      <c r="D40" s="1">
        <f>'ODA-GNI time series'!B43</f>
        <v>1386.145</v>
      </c>
      <c r="E40" s="1" t="str">
        <f t="shared" si="4"/>
        <v>1992-93</v>
      </c>
      <c r="F40">
        <f t="shared" si="5"/>
        <v>7.1439135155413043</v>
      </c>
      <c r="H40" s="1">
        <f>'ODA-GNI time series'!C43</f>
        <v>431.29</v>
      </c>
      <c r="I40" s="1" t="str">
        <f t="shared" si="6"/>
        <v>1992-93</v>
      </c>
      <c r="J40">
        <f t="shared" si="0"/>
        <v>0.32139511697465739</v>
      </c>
      <c r="K40">
        <f t="shared" si="1"/>
        <v>2.2960189199842334</v>
      </c>
      <c r="L40">
        <f>'ODA-exp time series'!C26</f>
        <v>115751</v>
      </c>
      <c r="M40">
        <f>'ODA-GNI time series'!L43</f>
        <v>0.52661408407714316</v>
      </c>
      <c r="N40" s="1" t="str">
        <f t="shared" si="2"/>
        <v>1992-93</v>
      </c>
      <c r="O40" s="13">
        <f>'ODA-GNI time series'!G43</f>
        <v>2632.1836842421881</v>
      </c>
      <c r="P40">
        <f t="shared" si="3"/>
        <v>18804.092597245071</v>
      </c>
      <c r="Q40">
        <f t="shared" si="7"/>
        <v>219802.32489004938</v>
      </c>
      <c r="R40" s="13"/>
      <c r="AF40" s="9"/>
      <c r="AJ40"/>
    </row>
    <row r="41" spans="1:36" x14ac:dyDescent="0.25">
      <c r="A41" t="str">
        <f>'ODA-GNI time series'!A44</f>
        <v>1993-94</v>
      </c>
      <c r="B41">
        <v>10203000000</v>
      </c>
      <c r="D41" s="1">
        <f>'ODA-GNI time series'!B44</f>
        <v>1410.8150000000001</v>
      </c>
      <c r="E41" s="1" t="str">
        <f t="shared" si="4"/>
        <v>1993-94</v>
      </c>
      <c r="F41">
        <f t="shared" si="5"/>
        <v>7.2319900199530061</v>
      </c>
      <c r="H41" s="1">
        <f>'ODA-GNI time series'!C44</f>
        <v>455.21</v>
      </c>
      <c r="I41" s="1" t="str">
        <f t="shared" si="6"/>
        <v>1993-94</v>
      </c>
      <c r="J41">
        <f t="shared" ref="J41:J69" si="8">D41/H41/10</f>
        <v>0.30992618791327081</v>
      </c>
      <c r="K41">
        <f t="shared" si="1"/>
        <v>2.2413830979108544</v>
      </c>
      <c r="L41">
        <f>'ODA-exp time series'!C27</f>
        <v>122009</v>
      </c>
      <c r="M41">
        <f>'ODA-GNI time series'!L44</f>
        <v>0.53614164151932819</v>
      </c>
      <c r="N41" s="1" t="str">
        <f t="shared" ref="N41:N69" si="9">I41</f>
        <v>1993-94</v>
      </c>
      <c r="O41" s="13">
        <f>'ODA-GNI time series'!G44</f>
        <v>2631.4221667281918</v>
      </c>
      <c r="P41">
        <f t="shared" si="3"/>
        <v>19030.418848061399</v>
      </c>
      <c r="Q41">
        <f t="shared" si="7"/>
        <v>227568.59484789992</v>
      </c>
      <c r="R41" s="13"/>
      <c r="AF41" s="9"/>
      <c r="AJ41"/>
    </row>
    <row r="42" spans="1:36" x14ac:dyDescent="0.25">
      <c r="A42" t="str">
        <f>'ODA-GNI time series'!A45</f>
        <v>1994-95</v>
      </c>
      <c r="B42">
        <v>10341500000</v>
      </c>
      <c r="D42" s="1">
        <f>'ODA-GNI time series'!B45</f>
        <v>1484.98</v>
      </c>
      <c r="E42" s="1" t="str">
        <f t="shared" si="4"/>
        <v>1994-95</v>
      </c>
      <c r="F42">
        <f t="shared" si="5"/>
        <v>6.964066856119274</v>
      </c>
      <c r="H42" s="1">
        <f>'ODA-GNI time series'!C45</f>
        <v>477.49099999999999</v>
      </c>
      <c r="I42" s="1" t="str">
        <f t="shared" si="6"/>
        <v>1994-95</v>
      </c>
      <c r="J42">
        <f t="shared" si="8"/>
        <v>0.31099643762919094</v>
      </c>
      <c r="K42">
        <f t="shared" si="1"/>
        <v>2.1657999836646136</v>
      </c>
      <c r="L42">
        <f>'ODA-exp time series'!C28</f>
        <v>127619</v>
      </c>
      <c r="M42">
        <f>'ODA-GNI time series'!L45</f>
        <v>0.56039360591761789</v>
      </c>
      <c r="N42" s="1" t="str">
        <f t="shared" si="9"/>
        <v>1994-95</v>
      </c>
      <c r="O42" s="13">
        <f>'ODA-GNI time series'!G45</f>
        <v>2649.8874796553323</v>
      </c>
      <c r="P42">
        <f t="shared" si="3"/>
        <v>18453.993569513135</v>
      </c>
      <c r="Q42">
        <f t="shared" si="7"/>
        <v>227731.00665741885</v>
      </c>
      <c r="R42" s="13"/>
      <c r="AF42" s="9"/>
      <c r="AJ42"/>
    </row>
    <row r="43" spans="1:36" x14ac:dyDescent="0.25">
      <c r="A43" t="str">
        <f>'ODA-GNI time series'!A46</f>
        <v>1995-96</v>
      </c>
      <c r="B43">
        <v>10482000000</v>
      </c>
      <c r="D43" s="1">
        <f>'ODA-GNI time series'!B46</f>
        <v>1567.17</v>
      </c>
      <c r="E43" s="1" t="str">
        <f t="shared" si="4"/>
        <v>1995-96</v>
      </c>
      <c r="F43">
        <f t="shared" si="5"/>
        <v>6.6884894427534984</v>
      </c>
      <c r="H43" s="1">
        <f>'ODA-GNI time series'!C46</f>
        <v>508.90499999999997</v>
      </c>
      <c r="I43" s="1" t="str">
        <f t="shared" si="6"/>
        <v>1995-96</v>
      </c>
      <c r="J43">
        <f t="shared" si="8"/>
        <v>0.30794942081527987</v>
      </c>
      <c r="K43">
        <f t="shared" si="1"/>
        <v>2.059716450025054</v>
      </c>
      <c r="L43">
        <f>'ODA-exp time series'!C29</f>
        <v>135538</v>
      </c>
      <c r="M43">
        <f>'ODA-GNI time series'!L46</f>
        <v>0.5777164376306817</v>
      </c>
      <c r="N43" s="1" t="str">
        <f t="shared" si="9"/>
        <v>1995-96</v>
      </c>
      <c r="O43" s="13">
        <f>'ODA-GNI time series'!G46</f>
        <v>2712.6976106604207</v>
      </c>
      <c r="P43">
        <f t="shared" si="3"/>
        <v>18143.849330284862</v>
      </c>
      <c r="Q43">
        <f t="shared" si="7"/>
        <v>234609.90751079464</v>
      </c>
      <c r="R43" s="13"/>
      <c r="AF43" s="9"/>
      <c r="AJ43"/>
    </row>
    <row r="44" spans="1:36" x14ac:dyDescent="0.25">
      <c r="A44" t="str">
        <f>'ODA-GNI time series'!A47</f>
        <v>1996-97</v>
      </c>
      <c r="B44">
        <v>10694000000</v>
      </c>
      <c r="D44" s="1">
        <f>'ODA-GNI time series'!B47</f>
        <v>1432.3510000000001</v>
      </c>
      <c r="E44" s="1" t="str">
        <f t="shared" si="4"/>
        <v>1996-97</v>
      </c>
      <c r="F44">
        <f t="shared" si="5"/>
        <v>7.4660470792424478</v>
      </c>
      <c r="H44" s="1">
        <f>'ODA-GNI time series'!C47</f>
        <v>536.60400000000004</v>
      </c>
      <c r="I44" s="1" t="str">
        <f t="shared" si="6"/>
        <v>1996-97</v>
      </c>
      <c r="J44">
        <f t="shared" si="8"/>
        <v>0.26692887119738207</v>
      </c>
      <c r="K44">
        <f t="shared" si="1"/>
        <v>1.9929035191686979</v>
      </c>
      <c r="L44">
        <f>'ODA-exp time series'!C30</f>
        <v>139689</v>
      </c>
      <c r="M44">
        <f>'ODA-GNI time series'!L47</f>
        <v>0.57944872080198828</v>
      </c>
      <c r="N44" s="1" t="str">
        <f t="shared" si="9"/>
        <v>1996-97</v>
      </c>
      <c r="O44" s="13">
        <f>'ODA-GNI time series'!G47</f>
        <v>2471.9202037715245</v>
      </c>
      <c r="P44">
        <f t="shared" si="3"/>
        <v>18455.472617488787</v>
      </c>
      <c r="Q44">
        <f t="shared" si="7"/>
        <v>241072.23812085198</v>
      </c>
      <c r="R44" s="13"/>
      <c r="AF44" s="9"/>
      <c r="AJ44"/>
    </row>
    <row r="45" spans="1:36" x14ac:dyDescent="0.25">
      <c r="A45" t="str">
        <f>'ODA-GNI time series'!A48</f>
        <v>1997-98</v>
      </c>
      <c r="B45">
        <v>11314000000</v>
      </c>
      <c r="D45" s="1">
        <f>'ODA-GNI time series'!B48</f>
        <v>1443.3</v>
      </c>
      <c r="E45" s="1" t="str">
        <f t="shared" si="4"/>
        <v>1997-98</v>
      </c>
      <c r="F45">
        <f t="shared" si="5"/>
        <v>7.8389801150142038</v>
      </c>
      <c r="H45" s="1">
        <f>'ODA-GNI time series'!C48</f>
        <v>569.53300000000002</v>
      </c>
      <c r="I45" s="1" t="str">
        <f t="shared" si="6"/>
        <v>1997-98</v>
      </c>
      <c r="J45">
        <f t="shared" si="8"/>
        <v>0.25341815136260759</v>
      </c>
      <c r="K45">
        <f t="shared" si="1"/>
        <v>1.9865398493151405</v>
      </c>
      <c r="L45">
        <f>'ODA-exp time series'!C31</f>
        <v>140587</v>
      </c>
      <c r="M45">
        <f>'ODA-GNI time series'!L48</f>
        <v>0.58377942873025412</v>
      </c>
      <c r="N45" s="1" t="str">
        <f t="shared" si="9"/>
        <v>1997-98</v>
      </c>
      <c r="O45" s="13">
        <f>'ODA-GNI time series'!G48</f>
        <v>2472.3378881973294</v>
      </c>
      <c r="P45">
        <f t="shared" si="3"/>
        <v>19380.607543175076</v>
      </c>
      <c r="Q45">
        <f t="shared" si="7"/>
        <v>240822.12061802673</v>
      </c>
      <c r="R45" s="13"/>
      <c r="AF45" s="9"/>
      <c r="AJ45"/>
    </row>
    <row r="46" spans="1:36" x14ac:dyDescent="0.25">
      <c r="A46" t="str">
        <f>'ODA-GNI time series'!A49</f>
        <v>1998-99</v>
      </c>
      <c r="B46">
        <v>12043500000</v>
      </c>
      <c r="D46" s="1">
        <f>'ODA-GNI time series'!B49</f>
        <v>1531.3</v>
      </c>
      <c r="E46" s="1" t="str">
        <f t="shared" si="4"/>
        <v>1998-99</v>
      </c>
      <c r="F46">
        <f t="shared" si="5"/>
        <v>7.8648860445373217</v>
      </c>
      <c r="H46" s="1">
        <f>'ODA-GNI time series'!C49</f>
        <v>600.41</v>
      </c>
      <c r="I46" s="1" t="str">
        <f t="shared" si="6"/>
        <v>1998-99</v>
      </c>
      <c r="J46">
        <f t="shared" si="8"/>
        <v>0.25504238770173715</v>
      </c>
      <c r="K46">
        <f t="shared" si="1"/>
        <v>2.0058793158008696</v>
      </c>
      <c r="L46">
        <f>'ODA-exp time series'!C32</f>
        <v>148175</v>
      </c>
      <c r="M46">
        <f>'ODA-GNI time series'!L49</f>
        <v>0.58984241982982644</v>
      </c>
      <c r="N46" s="1" t="str">
        <f t="shared" si="9"/>
        <v>1998-99</v>
      </c>
      <c r="O46" s="13">
        <f>'ODA-GNI time series'!G49</f>
        <v>2596.1171128414103</v>
      </c>
      <c r="P46">
        <f t="shared" si="3"/>
        <v>20418.16525077093</v>
      </c>
      <c r="Q46">
        <f t="shared" si="7"/>
        <v>251211.16253854631</v>
      </c>
      <c r="R46" s="13"/>
      <c r="AF46" s="9"/>
      <c r="AJ46"/>
    </row>
    <row r="47" spans="1:36" x14ac:dyDescent="0.25">
      <c r="A47" t="str">
        <f>'ODA-GNI time series'!A50</f>
        <v>1999-00</v>
      </c>
      <c r="B47">
        <v>12546000000</v>
      </c>
      <c r="D47" s="1">
        <f>'ODA-GNI time series'!B50</f>
        <v>1752.3430000000001</v>
      </c>
      <c r="E47" s="1" t="str">
        <f t="shared" si="4"/>
        <v>1999-00</v>
      </c>
      <c r="F47">
        <f t="shared" si="5"/>
        <v>7.1595572328020252</v>
      </c>
      <c r="H47" s="1">
        <f>'ODA-GNI time series'!C50</f>
        <v>641.76700000000005</v>
      </c>
      <c r="I47" s="1" t="str">
        <f t="shared" si="6"/>
        <v>1999-00</v>
      </c>
      <c r="J47">
        <f t="shared" si="8"/>
        <v>0.27304972053720433</v>
      </c>
      <c r="K47">
        <f t="shared" si="1"/>
        <v>1.954915101586713</v>
      </c>
      <c r="L47">
        <f>'ODA-exp time series'!C33</f>
        <v>153192</v>
      </c>
      <c r="M47">
        <f>'ODA-GNI time series'!L50</f>
        <v>0.60803139312854348</v>
      </c>
      <c r="N47" s="1" t="str">
        <f t="shared" si="9"/>
        <v>1999-00</v>
      </c>
      <c r="O47" s="13">
        <f>'ODA-GNI time series'!G50</f>
        <v>2881.9942848403857</v>
      </c>
      <c r="P47">
        <f t="shared" si="3"/>
        <v>20633.803026923084</v>
      </c>
      <c r="Q47">
        <f t="shared" si="7"/>
        <v>251947.51740000007</v>
      </c>
      <c r="R47" s="13"/>
      <c r="AF47" s="9"/>
      <c r="AJ47"/>
    </row>
    <row r="48" spans="1:36" x14ac:dyDescent="0.25">
      <c r="A48" t="str">
        <f>'ODA-GNI time series'!A51</f>
        <v>2000-01</v>
      </c>
      <c r="B48">
        <v>13617500000</v>
      </c>
      <c r="D48" s="1">
        <f>'ODA-GNI time series'!B51</f>
        <v>1638.895</v>
      </c>
      <c r="E48" s="1" t="str">
        <f t="shared" si="4"/>
        <v>2000-01</v>
      </c>
      <c r="F48">
        <f t="shared" si="5"/>
        <v>8.308952068314321</v>
      </c>
      <c r="H48" s="1">
        <f>'ODA-GNI time series'!C51</f>
        <v>684.976</v>
      </c>
      <c r="I48" s="1" t="str">
        <f t="shared" si="6"/>
        <v>2000-01</v>
      </c>
      <c r="J48">
        <f t="shared" si="8"/>
        <v>0.23926312746723974</v>
      </c>
      <c r="K48">
        <f t="shared" si="1"/>
        <v>1.9880258578402747</v>
      </c>
      <c r="L48">
        <f>'ODA-exp time series'!C34</f>
        <v>177123</v>
      </c>
      <c r="M48">
        <f>'ODA-GNI time series'!L51</f>
        <v>0.64527548131163126</v>
      </c>
      <c r="N48" s="1" t="str">
        <f t="shared" si="9"/>
        <v>2000-01</v>
      </c>
      <c r="O48" s="13">
        <f>'ODA-GNI time series'!G51</f>
        <v>2539.8377088010061</v>
      </c>
      <c r="P48">
        <f t="shared" si="3"/>
        <v>21103.389783724826</v>
      </c>
      <c r="Q48">
        <f t="shared" si="7"/>
        <v>274492.06599322142</v>
      </c>
      <c r="R48" s="13"/>
      <c r="AF48" s="9"/>
      <c r="AJ48"/>
    </row>
    <row r="49" spans="1:36" x14ac:dyDescent="0.25">
      <c r="A49" t="str">
        <f>'ODA-GNI time series'!A52</f>
        <v>2001-02</v>
      </c>
      <c r="B49">
        <v>14626500000</v>
      </c>
      <c r="D49" s="1">
        <f>'ODA-GNI time series'!B52</f>
        <v>1765.8150000000001</v>
      </c>
      <c r="E49" s="1" t="str">
        <f t="shared" si="4"/>
        <v>2001-02</v>
      </c>
      <c r="F49">
        <f t="shared" si="5"/>
        <v>8.283144043968365</v>
      </c>
      <c r="H49" s="1">
        <f>'ODA-GNI time series'!C52</f>
        <v>733.44</v>
      </c>
      <c r="I49" s="1" t="str">
        <f t="shared" si="6"/>
        <v>2001-02</v>
      </c>
      <c r="J49">
        <f t="shared" si="8"/>
        <v>0.24075793520942407</v>
      </c>
      <c r="K49">
        <f t="shared" si="1"/>
        <v>1.9942326570680624</v>
      </c>
      <c r="L49">
        <f>'ODA-exp time series'!C35</f>
        <v>188655</v>
      </c>
      <c r="M49">
        <f>'ODA-GNI time series'!L52</f>
        <v>0.66346445461034798</v>
      </c>
      <c r="N49" s="1" t="str">
        <f t="shared" si="9"/>
        <v>2001-02</v>
      </c>
      <c r="O49" s="13">
        <f>'ODA-GNI time series'!G52</f>
        <v>2661.5065626041132</v>
      </c>
      <c r="P49">
        <f t="shared" si="3"/>
        <v>22045.642232016977</v>
      </c>
      <c r="Q49">
        <f t="shared" si="7"/>
        <v>284348.31540567894</v>
      </c>
      <c r="R49" s="13"/>
      <c r="AF49" s="9"/>
      <c r="AJ49"/>
    </row>
    <row r="50" spans="1:36" x14ac:dyDescent="0.25">
      <c r="A50" t="str">
        <f>'ODA-GNI time series'!A53</f>
        <v>2002-03</v>
      </c>
      <c r="B50">
        <v>15306000000</v>
      </c>
      <c r="D50" s="1">
        <f>'ODA-GNI time series'!B53</f>
        <v>1840.6969999999999</v>
      </c>
      <c r="E50" s="1" t="str">
        <f t="shared" si="4"/>
        <v>2002-03</v>
      </c>
      <c r="F50">
        <f t="shared" si="5"/>
        <v>8.3153283783262548</v>
      </c>
      <c r="H50" s="1">
        <f>'ODA-GNI time series'!C53</f>
        <v>778.05</v>
      </c>
      <c r="I50" s="1" t="str">
        <f t="shared" si="6"/>
        <v>2002-03</v>
      </c>
      <c r="J50">
        <f t="shared" si="8"/>
        <v>0.23657824047297732</v>
      </c>
      <c r="K50">
        <f t="shared" si="1"/>
        <v>1.9672257566994413</v>
      </c>
      <c r="L50">
        <f>'ODA-exp time series'!C36</f>
        <v>198243</v>
      </c>
      <c r="M50">
        <f>'ODA-GNI time series'!L53</f>
        <v>0.68078728632341201</v>
      </c>
      <c r="N50" s="1" t="str">
        <f t="shared" si="9"/>
        <v>2002-03</v>
      </c>
      <c r="O50" s="13">
        <f>'ODA-GNI time series'!G53</f>
        <v>2703.7769902265272</v>
      </c>
      <c r="P50">
        <f t="shared" si="3"/>
        <v>22482.793535496192</v>
      </c>
      <c r="Q50">
        <f t="shared" ref="Q50:Q69" si="10">L50/M50</f>
        <v>291196.68357881688</v>
      </c>
      <c r="R50" s="13"/>
      <c r="AF50" s="9"/>
      <c r="AJ50"/>
    </row>
    <row r="51" spans="1:36" x14ac:dyDescent="0.25">
      <c r="A51" t="str">
        <f>'ODA-GNI time series'!A54</f>
        <v>2003-04</v>
      </c>
      <c r="B51">
        <v>16310500000</v>
      </c>
      <c r="C51">
        <v>15187.3</v>
      </c>
      <c r="D51" s="1">
        <f>'ODA-GNI time series'!B54</f>
        <v>1986.4469999999999</v>
      </c>
      <c r="E51" s="1" t="str">
        <f t="shared" si="4"/>
        <v>2003-04</v>
      </c>
      <c r="F51">
        <f t="shared" si="5"/>
        <v>8.2108911035632968</v>
      </c>
      <c r="G51">
        <f t="shared" ref="G51:G64" si="11">C51/D51</f>
        <v>7.6454594560036089</v>
      </c>
      <c r="H51" s="1">
        <f>'ODA-GNI time series'!C54</f>
        <v>835.63800000000003</v>
      </c>
      <c r="I51" s="1" t="str">
        <f t="shared" si="6"/>
        <v>2003-04</v>
      </c>
      <c r="J51">
        <f t="shared" si="8"/>
        <v>0.23771621204397117</v>
      </c>
      <c r="K51">
        <f t="shared" ref="K51:K69" si="12">J51*G51</f>
        <v>1.8174496612169384</v>
      </c>
      <c r="L51">
        <f>'ODA-exp time series'!C37</f>
        <v>209785</v>
      </c>
      <c r="M51">
        <f>'ODA-GNI time series'!L54</f>
        <v>0.69811011803647605</v>
      </c>
      <c r="N51" s="1" t="str">
        <f t="shared" si="9"/>
        <v>2003-04</v>
      </c>
      <c r="O51" s="13">
        <f>'ODA-GNI time series'!G54</f>
        <v>2845.4637007513029</v>
      </c>
      <c r="P51">
        <f t="shared" ref="P51:P69" si="13">O51*G51</f>
        <v>21754.877357624071</v>
      </c>
      <c r="Q51">
        <f t="shared" si="10"/>
        <v>300504.16772363527</v>
      </c>
      <c r="R51" s="13"/>
      <c r="AF51" s="9"/>
      <c r="AJ51"/>
    </row>
    <row r="52" spans="1:36" x14ac:dyDescent="0.25">
      <c r="A52" t="str">
        <f>'ODA-GNI time series'!A55</f>
        <v>2004-05</v>
      </c>
      <c r="B52">
        <v>17334500000</v>
      </c>
      <c r="C52">
        <v>16201.684999999999</v>
      </c>
      <c r="D52" s="1">
        <f>'ODA-GNI time series'!B55</f>
        <v>2211.078</v>
      </c>
      <c r="E52" s="1" t="str">
        <f t="shared" si="4"/>
        <v>2004-05</v>
      </c>
      <c r="F52">
        <f t="shared" si="5"/>
        <v>7.8398410187248029</v>
      </c>
      <c r="G52">
        <f t="shared" si="11"/>
        <v>7.3275049545968072</v>
      </c>
      <c r="H52" s="1">
        <f>'ODA-GNI time series'!C55</f>
        <v>887.08399999999995</v>
      </c>
      <c r="I52" s="1" t="str">
        <f t="shared" si="6"/>
        <v>2004-05</v>
      </c>
      <c r="J52">
        <f t="shared" si="8"/>
        <v>0.24925238196157298</v>
      </c>
      <c r="K52">
        <f t="shared" si="12"/>
        <v>1.8263980637684818</v>
      </c>
      <c r="L52">
        <f>'ODA-exp time series'!C38</f>
        <v>222407</v>
      </c>
      <c r="M52">
        <f>'ODA-GNI time series'!L55</f>
        <v>0.71543294974953997</v>
      </c>
      <c r="N52" s="1" t="str">
        <f t="shared" si="9"/>
        <v>2004-05</v>
      </c>
      <c r="O52" s="13">
        <f>'ODA-GNI time series'!G55</f>
        <v>3090.5453834269979</v>
      </c>
      <c r="P52">
        <f t="shared" si="13"/>
        <v>22645.986609467614</v>
      </c>
      <c r="Q52">
        <f t="shared" si="10"/>
        <v>310870.50167015742</v>
      </c>
      <c r="R52" s="13"/>
      <c r="AF52" s="9"/>
      <c r="AJ52"/>
    </row>
    <row r="53" spans="1:36" x14ac:dyDescent="0.25">
      <c r="A53" t="str">
        <f>'ODA-GNI time series'!A56</f>
        <v>2005-06</v>
      </c>
      <c r="B53">
        <v>18910000000</v>
      </c>
      <c r="C53">
        <v>17105.620999999999</v>
      </c>
      <c r="D53" s="1">
        <f>'ODA-GNI time series'!B56</f>
        <v>2619.0356794696004</v>
      </c>
      <c r="E53" s="1" t="str">
        <f t="shared" si="4"/>
        <v>2005-06</v>
      </c>
      <c r="F53">
        <f t="shared" si="5"/>
        <v>7.2202147333210815</v>
      </c>
      <c r="G53">
        <f t="shared" si="11"/>
        <v>6.5312668834905603</v>
      </c>
      <c r="H53" s="1">
        <f>'ODA-GNI time series'!C56</f>
        <v>956.90700000000004</v>
      </c>
      <c r="I53" s="1" t="str">
        <f t="shared" si="6"/>
        <v>2005-06</v>
      </c>
      <c r="J53">
        <f t="shared" si="8"/>
        <v>0.27369803747590937</v>
      </c>
      <c r="K53">
        <f t="shared" si="12"/>
        <v>1.7875949282427652</v>
      </c>
      <c r="L53">
        <f>'ODA-exp time series'!C39</f>
        <v>240136</v>
      </c>
      <c r="M53">
        <f>'ODA-GNI time series'!L56</f>
        <v>0.7440156220760954</v>
      </c>
      <c r="N53" s="1" t="str">
        <f t="shared" si="9"/>
        <v>2005-06</v>
      </c>
      <c r="O53" s="13">
        <f>'ODA-GNI time series'!G56</f>
        <v>3520.1353328596297</v>
      </c>
      <c r="P53">
        <f t="shared" si="13"/>
        <v>22990.943324911121</v>
      </c>
      <c r="Q53">
        <f t="shared" si="10"/>
        <v>322756.66380488942</v>
      </c>
      <c r="R53" s="13"/>
      <c r="AF53" s="9"/>
      <c r="AJ53"/>
    </row>
    <row r="54" spans="1:36" x14ac:dyDescent="0.25">
      <c r="A54" t="str">
        <f>'ODA-GNI time series'!A57</f>
        <v>2006-07</v>
      </c>
      <c r="B54">
        <v>20539000000</v>
      </c>
      <c r="C54">
        <v>19155.940999999999</v>
      </c>
      <c r="D54" s="1">
        <f>'ODA-GNI time series'!B57</f>
        <v>2879.5707135016</v>
      </c>
      <c r="E54" s="1" t="str">
        <f t="shared" si="4"/>
        <v>2006-07</v>
      </c>
      <c r="F54">
        <f t="shared" si="5"/>
        <v>7.1326604009749337</v>
      </c>
      <c r="G54">
        <f t="shared" si="11"/>
        <v>6.6523599890020044</v>
      </c>
      <c r="H54" s="1">
        <f>'ODA-GNI time series'!C57</f>
        <v>1036.6780000000001</v>
      </c>
      <c r="I54" s="1" t="str">
        <f t="shared" si="6"/>
        <v>2006-07</v>
      </c>
      <c r="J54">
        <f t="shared" si="8"/>
        <v>0.27776905784646722</v>
      </c>
      <c r="K54">
        <f t="shared" si="12"/>
        <v>1.8478197666006217</v>
      </c>
      <c r="L54">
        <f>'ODA-exp time series'!C40</f>
        <v>253321</v>
      </c>
      <c r="M54">
        <f>'ODA-GNI time series'!L57</f>
        <v>0.75960617061785307</v>
      </c>
      <c r="N54" s="1" t="str">
        <f t="shared" si="9"/>
        <v>2006-07</v>
      </c>
      <c r="O54" s="13">
        <f>'ODA-GNI time series'!G57</f>
        <v>3790.8732510155855</v>
      </c>
      <c r="P54">
        <f t="shared" si="13"/>
        <v>25218.253538434034</v>
      </c>
      <c r="Q54">
        <f t="shared" si="10"/>
        <v>333489.91859025083</v>
      </c>
      <c r="R54" s="13"/>
      <c r="AF54" s="9"/>
      <c r="AJ54"/>
    </row>
    <row r="55" spans="1:36" x14ac:dyDescent="0.25">
      <c r="A55" t="str">
        <f>'ODA-GNI time series'!A58</f>
        <v>2007-08</v>
      </c>
      <c r="B55">
        <v>22214000000</v>
      </c>
      <c r="C55">
        <v>20267.581999999999</v>
      </c>
      <c r="D55" s="1">
        <f>'ODA-GNI time series'!B58</f>
        <v>3047.1135083008994</v>
      </c>
      <c r="E55" s="1" t="str">
        <f t="shared" si="4"/>
        <v>2007-08</v>
      </c>
      <c r="F55">
        <f t="shared" si="5"/>
        <v>7.2901780453812979</v>
      </c>
      <c r="G55">
        <f t="shared" si="11"/>
        <v>6.6514036791827298</v>
      </c>
      <c r="H55" s="1">
        <f>'ODA-GNI time series'!C58</f>
        <v>1127.604</v>
      </c>
      <c r="I55" s="1" t="str">
        <f t="shared" si="6"/>
        <v>2007-08</v>
      </c>
      <c r="J55">
        <f t="shared" si="8"/>
        <v>0.27022904391088531</v>
      </c>
      <c r="K55">
        <f t="shared" si="12"/>
        <v>1.797402456890894</v>
      </c>
      <c r="L55">
        <f>'ODA-exp time series'!C41</f>
        <v>271843</v>
      </c>
      <c r="M55">
        <f>'ODA-GNI time series'!L58</f>
        <v>0.79338569245832746</v>
      </c>
      <c r="N55" s="1" t="str">
        <f t="shared" si="9"/>
        <v>2007-08</v>
      </c>
      <c r="O55" s="13">
        <f>'ODA-GNI time series'!G58</f>
        <v>3840.6459018177329</v>
      </c>
      <c r="P55">
        <f t="shared" si="13"/>
        <v>25545.686281788541</v>
      </c>
      <c r="Q55">
        <f t="shared" si="10"/>
        <v>342636.63005780574</v>
      </c>
      <c r="R55" s="13"/>
      <c r="AF55" s="9"/>
      <c r="AJ55"/>
    </row>
    <row r="56" spans="1:36" x14ac:dyDescent="0.25">
      <c r="A56" t="str">
        <f>'ODA-GNI time series'!A59</f>
        <v>2008-09</v>
      </c>
      <c r="B56">
        <v>24310500000</v>
      </c>
      <c r="C56">
        <v>22188.156999999999</v>
      </c>
      <c r="D56" s="1">
        <f>'ODA-GNI time series'!B59</f>
        <v>3709.1856654378998</v>
      </c>
      <c r="E56" s="1" t="str">
        <f t="shared" si="4"/>
        <v>2008-09</v>
      </c>
      <c r="F56">
        <f t="shared" si="5"/>
        <v>6.5541340317700021</v>
      </c>
      <c r="G56">
        <f t="shared" si="11"/>
        <v>5.9819483308017434</v>
      </c>
      <c r="H56" s="1">
        <f>'ODA-GNI time series'!C59</f>
        <v>1214.1079999999999</v>
      </c>
      <c r="I56" s="1" t="str">
        <f t="shared" si="6"/>
        <v>2008-09</v>
      </c>
      <c r="J56">
        <f t="shared" si="8"/>
        <v>0.30550706077530998</v>
      </c>
      <c r="K56">
        <f t="shared" si="12"/>
        <v>1.8275274522530123</v>
      </c>
      <c r="L56">
        <f>'ODA-exp time series'!C42</f>
        <v>316046</v>
      </c>
      <c r="M56">
        <f>'ODA-GNI time series'!L59</f>
        <v>0.80464553307181907</v>
      </c>
      <c r="N56" s="1" t="str">
        <f t="shared" si="9"/>
        <v>2008-09</v>
      </c>
      <c r="O56" s="13">
        <f>'ODA-GNI time series'!G59</f>
        <v>4609.713859067474</v>
      </c>
      <c r="P56">
        <f t="shared" si="13"/>
        <v>27575.070124722341</v>
      </c>
      <c r="Q56">
        <f t="shared" si="10"/>
        <v>392776.67868665239</v>
      </c>
      <c r="R56" s="13"/>
      <c r="AF56" s="9"/>
      <c r="AJ56"/>
    </row>
    <row r="57" spans="1:36" x14ac:dyDescent="0.25">
      <c r="A57" t="str">
        <f>'ODA-GNI time series'!A60</f>
        <v>2009-10</v>
      </c>
      <c r="B57">
        <v>25311000000</v>
      </c>
      <c r="C57">
        <v>24429.974999999999</v>
      </c>
      <c r="D57" s="1">
        <f>'ODA-GNI time series'!B60</f>
        <v>3813.2244176155004</v>
      </c>
      <c r="E57" s="1" t="str">
        <f t="shared" si="4"/>
        <v>2009-10</v>
      </c>
      <c r="F57">
        <f t="shared" si="5"/>
        <v>6.6376895844560782</v>
      </c>
      <c r="G57">
        <f t="shared" si="11"/>
        <v>6.4066449609269629</v>
      </c>
      <c r="H57" s="1">
        <f>'ODA-GNI time series'!C60</f>
        <v>1248.53</v>
      </c>
      <c r="I57" s="1" t="str">
        <f t="shared" si="6"/>
        <v>2009-10</v>
      </c>
      <c r="J57">
        <f t="shared" si="8"/>
        <v>0.30541712394700171</v>
      </c>
      <c r="K57">
        <f t="shared" si="12"/>
        <v>1.9566990781158642</v>
      </c>
      <c r="L57">
        <f>'ODA-exp time series'!C43</f>
        <v>336900</v>
      </c>
      <c r="M57">
        <f>'ODA-GNI time series'!L60</f>
        <v>0.82976363905576178</v>
      </c>
      <c r="N57" s="1" t="str">
        <f t="shared" si="9"/>
        <v>2009-10</v>
      </c>
      <c r="O57" s="13">
        <f>'ODA-GNI time series'!G60</f>
        <v>4595.5549726845093</v>
      </c>
      <c r="P57">
        <f t="shared" si="13"/>
        <v>29442.089108412059</v>
      </c>
      <c r="Q57">
        <f t="shared" si="10"/>
        <v>406019.23745824641</v>
      </c>
      <c r="R57" s="13"/>
      <c r="AF57" s="9"/>
      <c r="AJ57"/>
    </row>
    <row r="58" spans="1:36" x14ac:dyDescent="0.25">
      <c r="A58" t="str">
        <f>'ODA-GNI time series'!A61</f>
        <v>2010-11</v>
      </c>
      <c r="B58">
        <v>25785000000</v>
      </c>
      <c r="C58">
        <v>24069.553</v>
      </c>
      <c r="D58" s="1">
        <f>'ODA-GNI time series'!B61</f>
        <v>4259.6384054260998</v>
      </c>
      <c r="E58" s="1" t="str">
        <f t="shared" si="4"/>
        <v>2010-11</v>
      </c>
      <c r="F58">
        <f t="shared" si="5"/>
        <v>6.0533307163241901</v>
      </c>
      <c r="G58">
        <f t="shared" si="11"/>
        <v>5.6506094435948437</v>
      </c>
      <c r="H58" s="1">
        <f>'ODA-GNI time series'!C61</f>
        <v>1357.355</v>
      </c>
      <c r="I58" s="1" t="str">
        <f t="shared" si="6"/>
        <v>2010-11</v>
      </c>
      <c r="J58">
        <f t="shared" si="8"/>
        <v>0.31381903816069484</v>
      </c>
      <c r="K58">
        <f t="shared" si="12"/>
        <v>1.7732688206106728</v>
      </c>
      <c r="L58">
        <f>'ODA-exp time series'!C44</f>
        <v>346102</v>
      </c>
      <c r="M58">
        <f>'ODA-GNI time series'!L61</f>
        <v>0.85921245296797055</v>
      </c>
      <c r="N58" s="1" t="str">
        <f t="shared" si="9"/>
        <v>2010-11</v>
      </c>
      <c r="O58" s="13">
        <f>'ODA-GNI time series'!G61</f>
        <v>4957.6078543927824</v>
      </c>
      <c r="P58">
        <f t="shared" si="13"/>
        <v>28013.505759671829</v>
      </c>
      <c r="Q58">
        <f t="shared" si="10"/>
        <v>402813.06306078628</v>
      </c>
      <c r="R58" s="13"/>
      <c r="AF58" s="9"/>
      <c r="AJ58"/>
    </row>
    <row r="59" spans="1:36" x14ac:dyDescent="0.25">
      <c r="A59" t="str">
        <f>'ODA-GNI time series'!A62</f>
        <v>2011-12</v>
      </c>
      <c r="B59">
        <v>25320000000</v>
      </c>
      <c r="C59">
        <v>25245.885999999999</v>
      </c>
      <c r="D59" s="1">
        <f>'ODA-GNI time series'!B62</f>
        <v>4764.9995516866993</v>
      </c>
      <c r="E59" s="1" t="str">
        <f t="shared" si="4"/>
        <v>2011-12</v>
      </c>
      <c r="F59">
        <f t="shared" si="5"/>
        <v>5.3137465649996356</v>
      </c>
      <c r="G59">
        <f t="shared" si="11"/>
        <v>5.2981927335257648</v>
      </c>
      <c r="H59" s="1">
        <f>'ODA-GNI time series'!C62</f>
        <v>1451.1959999999999</v>
      </c>
      <c r="I59" s="1" t="str">
        <f t="shared" si="6"/>
        <v>2011-12</v>
      </c>
      <c r="J59">
        <f t="shared" si="8"/>
        <v>0.32834982674199076</v>
      </c>
      <c r="K59">
        <f t="shared" si="12"/>
        <v>1.7396606660988594</v>
      </c>
      <c r="L59">
        <f>'ODA-exp time series'!C45</f>
        <v>371032</v>
      </c>
      <c r="M59">
        <f>'ODA-GNI time series'!L62</f>
        <v>0.86960615199580893</v>
      </c>
      <c r="N59" s="1" t="str">
        <f t="shared" si="9"/>
        <v>2011-12</v>
      </c>
      <c r="O59" s="13">
        <f>'ODA-GNI time series'!G62</f>
        <v>5479.4915384978376</v>
      </c>
      <c r="P59">
        <f t="shared" si="13"/>
        <v>29031.402252685155</v>
      </c>
      <c r="Q59">
        <f t="shared" si="10"/>
        <v>426666.71475179284</v>
      </c>
      <c r="R59" s="13"/>
      <c r="AF59" s="9"/>
      <c r="AJ59"/>
    </row>
    <row r="60" spans="1:36" x14ac:dyDescent="0.25">
      <c r="A60" t="str">
        <f>'ODA-GNI time series'!A63</f>
        <v>2012-13</v>
      </c>
      <c r="B60">
        <v>25715000000</v>
      </c>
      <c r="C60">
        <v>23337.553</v>
      </c>
      <c r="D60" s="1">
        <f>'ODA-GNI time series'!B63</f>
        <v>4856.4567193147004</v>
      </c>
      <c r="E60" s="1" t="str">
        <f t="shared" si="4"/>
        <v>2012-13</v>
      </c>
      <c r="F60">
        <f t="shared" si="5"/>
        <v>5.2950126988115462</v>
      </c>
      <c r="G60">
        <f t="shared" si="11"/>
        <v>4.805469161741688</v>
      </c>
      <c r="H60" s="1">
        <f>'ODA-GNI time series'!C63</f>
        <v>1495.6690000000001</v>
      </c>
      <c r="I60" s="1" t="str">
        <f t="shared" si="6"/>
        <v>2012-13</v>
      </c>
      <c r="J60">
        <f t="shared" si="8"/>
        <v>0.32470130218081006</v>
      </c>
      <c r="K60">
        <f t="shared" si="12"/>
        <v>1.5603420944072519</v>
      </c>
      <c r="L60">
        <f>'ODA-exp time series'!C46</f>
        <v>367204</v>
      </c>
      <c r="M60">
        <f>'ODA-GNI time series'!L63</f>
        <v>0.89039355005148557</v>
      </c>
      <c r="N60" s="1" t="str">
        <f t="shared" si="9"/>
        <v>2012-13</v>
      </c>
      <c r="O60" s="13">
        <f>'ODA-GNI time series'!G63</f>
        <v>5454.2811086556994</v>
      </c>
      <c r="P60">
        <f t="shared" si="13"/>
        <v>26210.37966711523</v>
      </c>
      <c r="Q60">
        <f t="shared" si="10"/>
        <v>412406.40161731519</v>
      </c>
      <c r="R60" s="13"/>
      <c r="AF60" s="9"/>
      <c r="AJ60"/>
    </row>
    <row r="61" spans="1:36" x14ac:dyDescent="0.25">
      <c r="A61" t="str">
        <f>'ODA-GNI time series'!A64</f>
        <v>2013-14</v>
      </c>
      <c r="B61">
        <v>28603500000</v>
      </c>
      <c r="C61">
        <v>26059.333999999999</v>
      </c>
      <c r="D61" s="1">
        <f>'ODA-GNI time series'!B64</f>
        <v>5051.5333208062984</v>
      </c>
      <c r="E61" s="1" t="str">
        <f t="shared" si="4"/>
        <v>2013-14</v>
      </c>
      <c r="F61">
        <f t="shared" si="5"/>
        <v>5.6623401615877027</v>
      </c>
      <c r="G61">
        <f t="shared" si="11"/>
        <v>5.1586978339164054</v>
      </c>
      <c r="H61" s="1">
        <f>'ODA-GNI time series'!C64</f>
        <v>1553.9469999999999</v>
      </c>
      <c r="I61" s="1" t="str">
        <f t="shared" si="6"/>
        <v>2013-14</v>
      </c>
      <c r="J61">
        <f t="shared" si="8"/>
        <v>0.32507758120491231</v>
      </c>
      <c r="K61">
        <f t="shared" si="12"/>
        <v>1.6769770140165656</v>
      </c>
      <c r="L61">
        <f>'ODA-exp time series'!C47</f>
        <v>406430</v>
      </c>
      <c r="M61">
        <f>'ODA-GNI time series'!L64</f>
        <v>0.91724393920673453</v>
      </c>
      <c r="N61" s="1" t="str">
        <f t="shared" si="9"/>
        <v>2013-14</v>
      </c>
      <c r="O61" s="13">
        <f>'ODA-GNI time series'!G64</f>
        <v>5507.2953931699412</v>
      </c>
      <c r="P61">
        <f t="shared" si="13"/>
        <v>28410.472815483572</v>
      </c>
      <c r="Q61">
        <f t="shared" si="10"/>
        <v>443099.13931019837</v>
      </c>
      <c r="R61" s="13"/>
      <c r="AF61" s="9"/>
      <c r="AJ61"/>
    </row>
    <row r="62" spans="1:36" x14ac:dyDescent="0.25">
      <c r="A62" t="str">
        <f>'ODA-GNI time series'!A65</f>
        <v>2014-15</v>
      </c>
      <c r="B62">
        <v>31998500000</v>
      </c>
      <c r="C62">
        <v>29035.602999999999</v>
      </c>
      <c r="D62" s="1">
        <f>'ODA-GNI time series'!B65</f>
        <v>5054.0318415688016</v>
      </c>
      <c r="E62" s="1" t="str">
        <f t="shared" si="4"/>
        <v>2014-15</v>
      </c>
      <c r="F62">
        <f t="shared" si="5"/>
        <v>6.3312818365757417</v>
      </c>
      <c r="G62">
        <f t="shared" si="11"/>
        <v>5.7450376076354859</v>
      </c>
      <c r="H62" s="1">
        <f>'ODA-GNI time series'!C65</f>
        <v>1587.954</v>
      </c>
      <c r="I62" s="1" t="str">
        <f t="shared" si="6"/>
        <v>2014-15</v>
      </c>
      <c r="J62">
        <f t="shared" si="8"/>
        <v>0.31827318937253862</v>
      </c>
      <c r="K62">
        <f t="shared" si="12"/>
        <v>1.8284914424473253</v>
      </c>
      <c r="L62">
        <f>'ODA-exp time series'!C48</f>
        <v>412079</v>
      </c>
      <c r="M62">
        <f>'ODA-GNI time series'!L65</f>
        <v>0.93110220457718562</v>
      </c>
      <c r="N62" s="1" t="str">
        <f t="shared" si="9"/>
        <v>2014-15</v>
      </c>
      <c r="O62" s="13">
        <f>'ODA-GNI time series'!G65</f>
        <v>5428.0097466462794</v>
      </c>
      <c r="P62">
        <f t="shared" si="13"/>
        <v>31184.120129094841</v>
      </c>
      <c r="Q62">
        <f t="shared" si="10"/>
        <v>442571.17851753498</v>
      </c>
      <c r="R62" s="13"/>
      <c r="AF62" s="9"/>
      <c r="AJ62"/>
    </row>
    <row r="63" spans="1:36" x14ac:dyDescent="0.25">
      <c r="A63" t="str">
        <f>'ODA-GNI time series'!A66</f>
        <v>2015-16</v>
      </c>
      <c r="B63">
        <v>33119000000</v>
      </c>
      <c r="C63">
        <v>31881.921999999999</v>
      </c>
      <c r="D63" s="1">
        <f>'ODA-GNI time series'!B66</f>
        <v>4209.509</v>
      </c>
      <c r="E63" s="1" t="str">
        <f t="shared" si="4"/>
        <v>2015-16</v>
      </c>
      <c r="F63">
        <f t="shared" si="5"/>
        <v>7.8676634258294733</v>
      </c>
      <c r="G63">
        <f t="shared" si="11"/>
        <v>7.5737863964657155</v>
      </c>
      <c r="H63" s="1">
        <f>'ODA-GNI time series'!C66</f>
        <v>1622.2809999999999</v>
      </c>
      <c r="I63" s="1" t="str">
        <f t="shared" si="6"/>
        <v>2015-16</v>
      </c>
      <c r="J63">
        <f t="shared" si="8"/>
        <v>0.25948087908321676</v>
      </c>
      <c r="K63">
        <f t="shared" si="12"/>
        <v>1.9652527521434324</v>
      </c>
      <c r="L63">
        <f>'ODA-exp time series'!C49</f>
        <v>423328</v>
      </c>
      <c r="M63">
        <f>'ODA-GNI time series'!L66</f>
        <v>0.94062976201937076</v>
      </c>
      <c r="N63" s="1" t="str">
        <f t="shared" si="9"/>
        <v>2015-16</v>
      </c>
      <c r="O63" s="13">
        <f>'ODA-GNI time series'!G66</f>
        <v>4475.2028587346695</v>
      </c>
      <c r="P63">
        <f t="shared" si="13"/>
        <v>33894.230532909118</v>
      </c>
      <c r="Q63">
        <f t="shared" si="10"/>
        <v>450047.42258121556</v>
      </c>
      <c r="R63" s="13"/>
      <c r="AF63" s="9"/>
      <c r="AJ63"/>
    </row>
    <row r="64" spans="1:36" x14ac:dyDescent="0.25">
      <c r="A64" t="str">
        <f>'ODA-GNI time series'!A67</f>
        <v>2016-17</v>
      </c>
      <c r="C64">
        <v>31881.878000000001</v>
      </c>
      <c r="D64" s="1">
        <f>'ODA-GNI time series'!B67</f>
        <v>4033.53</v>
      </c>
      <c r="E64" s="1" t="str">
        <f t="shared" si="4"/>
        <v>2016-17</v>
      </c>
      <c r="G64">
        <f t="shared" si="11"/>
        <v>7.9042124392281696</v>
      </c>
      <c r="H64" s="1">
        <f>'ODA-GNI time series'!C67</f>
        <v>1699.4</v>
      </c>
      <c r="I64" s="1" t="str">
        <f t="shared" si="6"/>
        <v>2016-17</v>
      </c>
      <c r="J64">
        <f t="shared" si="8"/>
        <v>0.23735024126162174</v>
      </c>
      <c r="K64">
        <f t="shared" si="12"/>
        <v>1.8760667294339177</v>
      </c>
      <c r="L64">
        <f>'ODA-exp time series'!C50</f>
        <v>439375</v>
      </c>
      <c r="M64">
        <f>'ODA-GNI time series'!L67</f>
        <v>0.95881873531808781</v>
      </c>
      <c r="N64" s="1" t="str">
        <f t="shared" si="9"/>
        <v>2016-17</v>
      </c>
      <c r="O64" s="13">
        <f>'ODA-GNI time series'!G67</f>
        <v>4206.7701135000016</v>
      </c>
      <c r="P64">
        <f t="shared" si="13"/>
        <v>33251.204660100011</v>
      </c>
      <c r="Q64">
        <f t="shared" si="10"/>
        <v>458246.15625000012</v>
      </c>
      <c r="R64" s="13"/>
      <c r="AF64" s="9"/>
      <c r="AJ64"/>
    </row>
    <row r="65" spans="1:36" x14ac:dyDescent="0.25">
      <c r="A65" t="str">
        <f>'ODA-GNI time series'!A68</f>
        <v>2017-18</v>
      </c>
      <c r="C65" s="34">
        <v>35167.021000000001</v>
      </c>
      <c r="D65" s="1">
        <f>'ODA-GNI time series'!B68</f>
        <v>4077</v>
      </c>
      <c r="E65" s="1" t="str">
        <f t="shared" si="4"/>
        <v>2017-18</v>
      </c>
      <c r="G65">
        <f t="shared" ref="G65:G69" si="14">C65/D65</f>
        <v>8.6257103262202595</v>
      </c>
      <c r="H65" s="1">
        <f>'2018-19 budget'!V8</f>
        <v>1771.9226549999998</v>
      </c>
      <c r="I65" s="1" t="str">
        <f t="shared" si="6"/>
        <v>2017-18</v>
      </c>
      <c r="J65">
        <f t="shared" si="8"/>
        <v>0.23008904979546077</v>
      </c>
      <c r="K65">
        <f t="shared" si="12"/>
        <v>1.9846814927709135</v>
      </c>
      <c r="L65">
        <f>'ODA-exp time series'!C51</f>
        <v>459900</v>
      </c>
      <c r="M65">
        <f>'ODA-GNI time series'!L68</f>
        <v>0.97799511002444983</v>
      </c>
      <c r="N65" s="1" t="str">
        <f t="shared" si="9"/>
        <v>2017-18</v>
      </c>
      <c r="O65" s="13">
        <f>'ODA-GNI time series'!G68</f>
        <v>4168.7325000000001</v>
      </c>
      <c r="P65">
        <f t="shared" si="13"/>
        <v>35958.278972499997</v>
      </c>
      <c r="Q65">
        <f t="shared" si="10"/>
        <v>470247.75</v>
      </c>
      <c r="R65" s="13"/>
      <c r="AF65" s="9"/>
      <c r="AJ65"/>
    </row>
    <row r="66" spans="1:36" x14ac:dyDescent="0.25">
      <c r="A66" t="str">
        <f>'ODA-GNI time series'!A69</f>
        <v>2018-19</v>
      </c>
      <c r="C66" s="9">
        <v>35530.707000000002</v>
      </c>
      <c r="D66" s="1">
        <f>'ODA-GNI time series'!B69</f>
        <v>4161</v>
      </c>
      <c r="E66" s="1" t="str">
        <f t="shared" si="4"/>
        <v>2018-19</v>
      </c>
      <c r="G66">
        <f t="shared" si="14"/>
        <v>8.5389826964671958</v>
      </c>
      <c r="H66" s="1">
        <f>'2018-19 budget'!V9</f>
        <v>1838.3697545625</v>
      </c>
      <c r="I66" s="1" t="str">
        <f t="shared" si="6"/>
        <v>2018-19</v>
      </c>
      <c r="J66">
        <f t="shared" si="8"/>
        <v>0.22634184389039</v>
      </c>
      <c r="K66">
        <f t="shared" si="12"/>
        <v>1.9327290884665194</v>
      </c>
      <c r="L66">
        <f>'ODA-exp time series'!C52</f>
        <v>484600</v>
      </c>
      <c r="M66">
        <f>'ODA-GNI time series'!L69</f>
        <v>1</v>
      </c>
      <c r="N66" s="1" t="str">
        <f t="shared" si="9"/>
        <v>2018-19</v>
      </c>
      <c r="O66" s="13">
        <f>'ODA-GNI time series'!G69</f>
        <v>4161</v>
      </c>
      <c r="P66">
        <f t="shared" si="13"/>
        <v>35530.707000000002</v>
      </c>
      <c r="Q66">
        <f t="shared" si="10"/>
        <v>484600</v>
      </c>
      <c r="R66" s="13"/>
      <c r="AF66" s="9"/>
      <c r="AJ66"/>
    </row>
    <row r="67" spans="1:36" x14ac:dyDescent="0.25">
      <c r="A67" t="str">
        <f>'ODA-GNI time series'!A70</f>
        <v>2019-20</v>
      </c>
      <c r="C67" s="9">
        <v>37215.031000000003</v>
      </c>
      <c r="D67" s="1">
        <f>'ODA-GNI time series'!B70</f>
        <v>4170</v>
      </c>
      <c r="E67" s="1" t="str">
        <f t="shared" si="4"/>
        <v>2019-20</v>
      </c>
      <c r="G67">
        <f t="shared" si="14"/>
        <v>8.9244678657074346</v>
      </c>
      <c r="H67" s="1">
        <f>'2018-19 budget'!V10</f>
        <v>1925.692317904219</v>
      </c>
      <c r="I67" s="1" t="str">
        <f t="shared" si="6"/>
        <v>2019-20</v>
      </c>
      <c r="J67">
        <f t="shared" si="8"/>
        <v>0.21654549697421649</v>
      </c>
      <c r="K67">
        <f t="shared" si="12"/>
        <v>1.9325533292100416</v>
      </c>
      <c r="L67">
        <f>'ODA-exp time series'!C53</f>
        <v>497500</v>
      </c>
      <c r="M67">
        <f>'ODA-GNI time series'!L70</f>
        <v>1.0249999999999999</v>
      </c>
      <c r="N67" s="1" t="str">
        <f t="shared" si="9"/>
        <v>2019-20</v>
      </c>
      <c r="O67" s="13">
        <f>'ODA-GNI time series'!G70</f>
        <v>4068.2926829268299</v>
      </c>
      <c r="P67">
        <f t="shared" si="13"/>
        <v>36307.347317073181</v>
      </c>
      <c r="Q67">
        <f t="shared" si="10"/>
        <v>485365.85365853662</v>
      </c>
      <c r="R67" s="13"/>
      <c r="AF67" s="9"/>
      <c r="AJ67"/>
    </row>
    <row r="68" spans="1:36" x14ac:dyDescent="0.25">
      <c r="A68" t="str">
        <f>'ODA-GNI time series'!A71</f>
        <v>2020-21</v>
      </c>
      <c r="C68" s="9">
        <v>40454.966999999997</v>
      </c>
      <c r="D68" s="1">
        <f>'ODA-GNI time series'!B71</f>
        <v>4000</v>
      </c>
      <c r="E68" s="1" t="str">
        <f t="shared" si="4"/>
        <v>2020-21</v>
      </c>
      <c r="G68">
        <f t="shared" si="14"/>
        <v>10.113741749999999</v>
      </c>
      <c r="H68" s="1">
        <f>'2018-19 budget'!V11</f>
        <v>2012.3484722099088</v>
      </c>
      <c r="I68" s="1" t="str">
        <f t="shared" si="6"/>
        <v>2020-21</v>
      </c>
      <c r="J68">
        <f t="shared" si="8"/>
        <v>0.19877273023231926</v>
      </c>
      <c r="K68">
        <f t="shared" si="12"/>
        <v>2.0103360605120941</v>
      </c>
      <c r="L68">
        <f>'ODA-exp time series'!C54</f>
        <v>514500</v>
      </c>
      <c r="M68">
        <f>'ODA-GNI time series'!L71</f>
        <v>1.0506249999999997</v>
      </c>
      <c r="N68" s="1" t="str">
        <f t="shared" si="9"/>
        <v>2020-21</v>
      </c>
      <c r="O68" s="13">
        <f>'ODA-GNI time series'!G71</f>
        <v>3807.2575847709704</v>
      </c>
      <c r="P68">
        <f t="shared" si="13"/>
        <v>38505.619988102328</v>
      </c>
      <c r="Q68">
        <f t="shared" si="10"/>
        <v>489708.50684116612</v>
      </c>
      <c r="R68" s="13"/>
      <c r="AI68" s="9"/>
      <c r="AJ68"/>
    </row>
    <row r="69" spans="1:36" x14ac:dyDescent="0.25">
      <c r="A69" s="27" t="str">
        <f>'ODA-GNI time series'!A72</f>
        <v>2021-22</v>
      </c>
      <c r="B69" s="27"/>
      <c r="C69" s="82">
        <v>44104.027000000002</v>
      </c>
      <c r="D69" s="32">
        <f>'ODA-GNI time series'!B72</f>
        <v>4000</v>
      </c>
      <c r="E69" s="32" t="str">
        <f t="shared" si="4"/>
        <v>2021-22</v>
      </c>
      <c r="F69" s="27"/>
      <c r="G69" s="27">
        <f t="shared" si="14"/>
        <v>11.026006750000001</v>
      </c>
      <c r="H69" s="32">
        <f>'2018-19 budget'!V12</f>
        <v>2102.9041534593543</v>
      </c>
      <c r="I69" s="32" t="str">
        <f t="shared" si="6"/>
        <v>2021-22</v>
      </c>
      <c r="J69" s="27">
        <f t="shared" si="8"/>
        <v>0.19021313897829598</v>
      </c>
      <c r="K69" s="27">
        <f t="shared" si="12"/>
        <v>2.0972913543133798</v>
      </c>
      <c r="L69" s="27">
        <f>'ODA-exp time series'!C55</f>
        <v>537300</v>
      </c>
      <c r="M69" s="27">
        <f>'ODA-GNI time series'!L72</f>
        <v>1.0768906249999997</v>
      </c>
      <c r="N69" s="32" t="str">
        <f t="shared" si="9"/>
        <v>2021-22</v>
      </c>
      <c r="O69" s="83">
        <f>'ODA-GNI time series'!G72</f>
        <v>3714.3976436789958</v>
      </c>
      <c r="P69" s="27">
        <f t="shared" si="13"/>
        <v>40954.973491388708</v>
      </c>
      <c r="Q69" s="27">
        <f t="shared" si="10"/>
        <v>498936.46348718111</v>
      </c>
      <c r="R69" s="13"/>
      <c r="AI69" s="9"/>
      <c r="AJ69"/>
    </row>
    <row r="70" spans="1:36" x14ac:dyDescent="0.25">
      <c r="D70" s="1"/>
    </row>
    <row r="71" spans="1:36" x14ac:dyDescent="0.25">
      <c r="C71" t="s">
        <v>141</v>
      </c>
      <c r="D71" s="1" t="s">
        <v>183</v>
      </c>
      <c r="E71" t="s">
        <v>205</v>
      </c>
    </row>
    <row r="72" spans="1:36" ht="45" x14ac:dyDescent="0.25">
      <c r="A72" s="11" t="s">
        <v>206</v>
      </c>
      <c r="B72" t="str">
        <f>A54</f>
        <v>2006-07</v>
      </c>
      <c r="C72">
        <f>O54</f>
        <v>3790.8732510155855</v>
      </c>
      <c r="D72">
        <f>P54</f>
        <v>25218.253538434034</v>
      </c>
      <c r="E72">
        <f>Q54</f>
        <v>333489.91859025083</v>
      </c>
    </row>
    <row r="73" spans="1:36" x14ac:dyDescent="0.25">
      <c r="B73" t="str">
        <f>A60</f>
        <v>2012-13</v>
      </c>
      <c r="C73">
        <f>O60</f>
        <v>5454.2811086556994</v>
      </c>
      <c r="D73">
        <f>P60</f>
        <v>26210.37966711523</v>
      </c>
      <c r="E73">
        <f>Q60</f>
        <v>412406.40161731519</v>
      </c>
    </row>
    <row r="74" spans="1:36" x14ac:dyDescent="0.25">
      <c r="C74">
        <f>(C73/C72)^(1/6)-1</f>
        <v>6.2510039281344909E-2</v>
      </c>
      <c r="D74">
        <f>(D73/D72)^(1/6)-1</f>
        <v>6.4519621022323115E-3</v>
      </c>
      <c r="E74">
        <f>(E73/E72)^(1/6)-1</f>
        <v>3.6033459204910967E-2</v>
      </c>
    </row>
    <row r="75" spans="1:36" ht="45" x14ac:dyDescent="0.25">
      <c r="A75" s="11" t="s">
        <v>207</v>
      </c>
      <c r="B75" t="str">
        <f>A60</f>
        <v>2012-13</v>
      </c>
      <c r="C75">
        <f>O60</f>
        <v>5454.2811086556994</v>
      </c>
      <c r="D75">
        <f>P60</f>
        <v>26210.37966711523</v>
      </c>
      <c r="E75">
        <f>Q60</f>
        <v>412406.40161731519</v>
      </c>
    </row>
    <row r="76" spans="1:36" x14ac:dyDescent="0.25">
      <c r="B76" t="str">
        <f>A66</f>
        <v>2018-19</v>
      </c>
      <c r="C76">
        <f>O66</f>
        <v>4161</v>
      </c>
      <c r="D76">
        <f>P66</f>
        <v>35530.707000000002</v>
      </c>
      <c r="E76">
        <f>Q66</f>
        <v>484600</v>
      </c>
    </row>
    <row r="77" spans="1:36" x14ac:dyDescent="0.25">
      <c r="C77">
        <f>(C76/C75)^(1/6)-1</f>
        <v>-4.4105345276034713E-2</v>
      </c>
      <c r="D77">
        <f>(D76/D75)^(1/6)-1</f>
        <v>5.2014573773635275E-2</v>
      </c>
      <c r="E77">
        <f>(E76/E75)^(1/6)-1</f>
        <v>2.725043843662811E-2</v>
      </c>
    </row>
    <row r="78" spans="1:36" x14ac:dyDescent="0.25">
      <c r="A78" s="11" t="s">
        <v>204</v>
      </c>
      <c r="B78" t="str">
        <f>A18</f>
        <v>1970-71</v>
      </c>
      <c r="C78">
        <f>O18</f>
        <v>2000.0805525000001</v>
      </c>
      <c r="D78">
        <f>P18</f>
        <v>13305.572662500001</v>
      </c>
      <c r="E78">
        <f>Q18</f>
        <v>83636.645175000012</v>
      </c>
    </row>
    <row r="79" spans="1:36" x14ac:dyDescent="0.25">
      <c r="B79" t="str">
        <f>B72</f>
        <v>2006-07</v>
      </c>
      <c r="C79">
        <f>C72</f>
        <v>3790.8732510155855</v>
      </c>
      <c r="D79">
        <f>D72</f>
        <v>25218.253538434034</v>
      </c>
      <c r="E79">
        <f>E72</f>
        <v>333489.91859025083</v>
      </c>
    </row>
    <row r="80" spans="1:36" x14ac:dyDescent="0.25">
      <c r="C80">
        <f>(C79/C78)^(1/36)-1</f>
        <v>1.7920030564833933E-2</v>
      </c>
      <c r="D80">
        <f>(D79/D78)^(1/36)-1</f>
        <v>1.7919357285052895E-2</v>
      </c>
      <c r="E80">
        <f>(E79/E78)^(1/36)-1</f>
        <v>3.9167905463189712E-2</v>
      </c>
    </row>
    <row r="81" spans="1:6" x14ac:dyDescent="0.25">
      <c r="C81">
        <f>C76/C75-1</f>
        <v>-0.23711302789350563</v>
      </c>
      <c r="D81">
        <f>D76/D75-1</f>
        <v>0.35559680749602007</v>
      </c>
    </row>
    <row r="82" spans="1:6" x14ac:dyDescent="0.25">
      <c r="A82" t="s">
        <v>209</v>
      </c>
      <c r="B82" t="str">
        <f>A9</f>
        <v>1961-62</v>
      </c>
      <c r="C82">
        <f>O9</f>
        <v>947.31950769230787</v>
      </c>
      <c r="D82">
        <f>P9</f>
        <v>6468.4160134615395</v>
      </c>
    </row>
    <row r="83" spans="1:6" x14ac:dyDescent="0.25">
      <c r="B83" t="str">
        <f>A18</f>
        <v>1970-71</v>
      </c>
      <c r="C83">
        <f>O18</f>
        <v>2000.0805525000001</v>
      </c>
      <c r="D83">
        <f>P18</f>
        <v>13305.572662500001</v>
      </c>
      <c r="E83">
        <f>Q18</f>
        <v>83636.645175000012</v>
      </c>
      <c r="F83">
        <v>9</v>
      </c>
    </row>
    <row r="84" spans="1:6" x14ac:dyDescent="0.25">
      <c r="C84" s="60">
        <f>(C83/C82)^(1/$F83)-1</f>
        <v>8.6578788948455498E-2</v>
      </c>
      <c r="D84" s="60">
        <f t="shared" ref="D84" si="15">(D83/D82)^(1/$F83)-1</f>
        <v>8.3437737659867173E-2</v>
      </c>
    </row>
    <row r="85" spans="1:6" x14ac:dyDescent="0.25">
      <c r="A85" t="s">
        <v>210</v>
      </c>
      <c r="B85" t="str">
        <f>B83</f>
        <v>1970-71</v>
      </c>
      <c r="C85">
        <f>C83</f>
        <v>2000.0805525000001</v>
      </c>
      <c r="D85">
        <f>D83</f>
        <v>13305.572662500001</v>
      </c>
      <c r="E85">
        <f>E83</f>
        <v>83636.645175000012</v>
      </c>
    </row>
    <row r="86" spans="1:6" x14ac:dyDescent="0.25">
      <c r="B86" t="str">
        <f>A22</f>
        <v>1974-75</v>
      </c>
      <c r="C86">
        <f>O22</f>
        <v>2445.0061676582286</v>
      </c>
      <c r="D86">
        <f>P22</f>
        <v>12663.465895253168</v>
      </c>
      <c r="E86">
        <f>Q22</f>
        <v>112992.02143006332</v>
      </c>
      <c r="F86">
        <v>4</v>
      </c>
    </row>
    <row r="87" spans="1:6" x14ac:dyDescent="0.25">
      <c r="C87" s="60">
        <f>(C86/C85)^(1/$F86)-1</f>
        <v>5.1497193771561145E-2</v>
      </c>
      <c r="D87" s="60">
        <f t="shared" ref="D87" si="16">(D86/D85)^(1/$F86)-1</f>
        <v>-1.2289311481179732E-2</v>
      </c>
      <c r="E87" s="60">
        <f t="shared" ref="E87" si="17">(E86/E85)^(1/$F86)-1</f>
        <v>7.8109302882116483E-2</v>
      </c>
    </row>
    <row r="88" spans="1:6" x14ac:dyDescent="0.25">
      <c r="A88" t="s">
        <v>211</v>
      </c>
      <c r="B88" t="str">
        <f>B86</f>
        <v>1974-75</v>
      </c>
      <c r="C88">
        <f>C86</f>
        <v>2445.0061676582286</v>
      </c>
      <c r="D88">
        <f t="shared" ref="D88:E88" si="18">D86</f>
        <v>12663.465895253168</v>
      </c>
      <c r="E88">
        <f t="shared" si="18"/>
        <v>112992.02143006332</v>
      </c>
    </row>
    <row r="89" spans="1:6" x14ac:dyDescent="0.25">
      <c r="B89" t="str">
        <f>A30</f>
        <v>1982-83</v>
      </c>
      <c r="C89">
        <f>O30</f>
        <v>2506.3402069679305</v>
      </c>
      <c r="D89">
        <f>P30</f>
        <v>16857.039694460644</v>
      </c>
      <c r="E89">
        <f>Q30</f>
        <v>164295.54861953354</v>
      </c>
      <c r="F89">
        <v>8</v>
      </c>
    </row>
    <row r="90" spans="1:6" x14ac:dyDescent="0.25">
      <c r="C90" s="60">
        <f>(C89/C88)^(1/$F89)-1</f>
        <v>3.1017954864711594E-3</v>
      </c>
      <c r="D90" s="60">
        <f t="shared" ref="D90" si="19">(D89/D88)^(1/$F89)-1</f>
        <v>3.6402830837036104E-2</v>
      </c>
      <c r="E90" s="60">
        <f t="shared" ref="E90" si="20">(E89/E88)^(1/$F89)-1</f>
        <v>4.790581982703257E-2</v>
      </c>
    </row>
    <row r="91" spans="1:6" x14ac:dyDescent="0.25">
      <c r="A91" t="s">
        <v>213</v>
      </c>
      <c r="B91" t="str">
        <f>B89</f>
        <v>1982-83</v>
      </c>
      <c r="C91">
        <f>C89</f>
        <v>2506.3402069679305</v>
      </c>
      <c r="D91">
        <f>D89</f>
        <v>16857.039694460644</v>
      </c>
      <c r="E91">
        <f>E89</f>
        <v>164295.54861953354</v>
      </c>
    </row>
    <row r="92" spans="1:6" x14ac:dyDescent="0.25">
      <c r="B92" t="str">
        <f>A43</f>
        <v>1995-96</v>
      </c>
      <c r="C92">
        <f>O43</f>
        <v>2712.6976106604207</v>
      </c>
      <c r="D92">
        <f>P43</f>
        <v>18143.849330284862</v>
      </c>
      <c r="E92">
        <f>Q43</f>
        <v>234609.90751079464</v>
      </c>
      <c r="F92">
        <v>13</v>
      </c>
    </row>
    <row r="93" spans="1:6" x14ac:dyDescent="0.25">
      <c r="C93" s="60">
        <f>(C92/C91)^(1/$F92)-1</f>
        <v>6.1047093122752472E-3</v>
      </c>
      <c r="D93" s="60">
        <f t="shared" ref="D93" si="21">(D92/D91)^(1/$F92)-1</f>
        <v>5.6747536685006761E-3</v>
      </c>
      <c r="E93" s="60">
        <f t="shared" ref="E93" si="22">(E92/E91)^(1/$F92)-1</f>
        <v>2.7783357101445638E-2</v>
      </c>
    </row>
    <row r="94" spans="1:6" x14ac:dyDescent="0.25">
      <c r="A94" t="s">
        <v>212</v>
      </c>
      <c r="B94" t="str">
        <f>B92</f>
        <v>1995-96</v>
      </c>
      <c r="C94">
        <f t="shared" ref="C94:E94" si="23">C92</f>
        <v>2712.6976106604207</v>
      </c>
      <c r="D94">
        <f t="shared" si="23"/>
        <v>18143.849330284862</v>
      </c>
      <c r="E94">
        <f t="shared" si="23"/>
        <v>234609.90751079464</v>
      </c>
    </row>
    <row r="95" spans="1:6" x14ac:dyDescent="0.25">
      <c r="B95" t="str">
        <f>B72</f>
        <v>2006-07</v>
      </c>
      <c r="C95">
        <f>C72</f>
        <v>3790.8732510155855</v>
      </c>
      <c r="D95">
        <f>D72</f>
        <v>25218.253538434034</v>
      </c>
      <c r="E95">
        <f>E72</f>
        <v>333489.91859025083</v>
      </c>
      <c r="F95">
        <v>11</v>
      </c>
    </row>
    <row r="96" spans="1:6" x14ac:dyDescent="0.25">
      <c r="C96" s="60">
        <f>(C95/C94)^(1/$F95)-1</f>
        <v>3.0890492840515371E-2</v>
      </c>
      <c r="D96" s="60">
        <f t="shared" ref="D96:E96" si="24">(D95/D94)^(1/$F95)-1</f>
        <v>3.0383009370212655E-2</v>
      </c>
      <c r="E96" s="60">
        <f t="shared" si="24"/>
        <v>3.2488263786479399E-2</v>
      </c>
    </row>
    <row r="98" spans="1:4" x14ac:dyDescent="0.25">
      <c r="B98" t="str">
        <f>C71</f>
        <v>Aid</v>
      </c>
      <c r="C98" t="str">
        <f>D71</f>
        <v>Defence</v>
      </c>
      <c r="D98" t="str">
        <f>E71</f>
        <v>Total expenditure</v>
      </c>
    </row>
    <row r="99" spans="1:4" x14ac:dyDescent="0.25">
      <c r="A99" t="s">
        <v>218</v>
      </c>
      <c r="B99" s="6">
        <f>C84</f>
        <v>8.6578788948455498E-2</v>
      </c>
      <c r="C99" s="6">
        <f>D84</f>
        <v>8.3437737659867173E-2</v>
      </c>
      <c r="D99" s="6"/>
    </row>
    <row r="100" spans="1:4" x14ac:dyDescent="0.25">
      <c r="A100" t="s">
        <v>214</v>
      </c>
      <c r="B100" s="6">
        <f>C87</f>
        <v>5.1497193771561145E-2</v>
      </c>
      <c r="C100" s="6">
        <f>D87</f>
        <v>-1.2289311481179732E-2</v>
      </c>
      <c r="D100" s="6">
        <f>E87</f>
        <v>7.8109302882116483E-2</v>
      </c>
    </row>
    <row r="101" spans="1:4" x14ac:dyDescent="0.25">
      <c r="A101" t="s">
        <v>215</v>
      </c>
      <c r="B101" s="6">
        <f>C90</f>
        <v>3.1017954864711594E-3</v>
      </c>
      <c r="C101" s="6">
        <f>D90</f>
        <v>3.6402830837036104E-2</v>
      </c>
      <c r="D101" s="6">
        <f>E90</f>
        <v>4.790581982703257E-2</v>
      </c>
    </row>
    <row r="102" spans="1:4" x14ac:dyDescent="0.25">
      <c r="A102" t="s">
        <v>216</v>
      </c>
      <c r="B102" s="6">
        <f>C93</f>
        <v>6.1047093122752472E-3</v>
      </c>
      <c r="C102" s="6">
        <f>D93</f>
        <v>5.6747536685006761E-3</v>
      </c>
      <c r="D102" s="6">
        <f>E93</f>
        <v>2.7783357101445638E-2</v>
      </c>
    </row>
    <row r="103" spans="1:4" x14ac:dyDescent="0.25">
      <c r="A103" t="s">
        <v>217</v>
      </c>
      <c r="B103" s="6">
        <f>C96</f>
        <v>3.0890492840515371E-2</v>
      </c>
      <c r="C103" s="6">
        <f>D96</f>
        <v>3.0383009370212655E-2</v>
      </c>
      <c r="D103" s="6">
        <f>E96</f>
        <v>3.2488263786479399E-2</v>
      </c>
    </row>
    <row r="104" spans="1:4" x14ac:dyDescent="0.25">
      <c r="A104" t="str">
        <f>A72</f>
        <v>Rudd/Gillard (2006-07 to 201213)</v>
      </c>
      <c r="B104" s="3">
        <f>C74</f>
        <v>6.2510039281344909E-2</v>
      </c>
      <c r="C104" s="3">
        <f>D74</f>
        <v>6.4519621022323115E-3</v>
      </c>
      <c r="D104" s="3">
        <f>E74</f>
        <v>3.6033459204910967E-2</v>
      </c>
    </row>
    <row r="105" spans="1:4" x14ac:dyDescent="0.25">
      <c r="A105" t="str">
        <f>A75</f>
        <v>Abbott/Turnbull (2012-13 to 2018-19)</v>
      </c>
      <c r="B105" s="3">
        <f>C77</f>
        <v>-4.4105345276034713E-2</v>
      </c>
      <c r="C105" s="3">
        <f>D77</f>
        <v>5.2014573773635275E-2</v>
      </c>
      <c r="D105" s="3">
        <f>E77</f>
        <v>2.725043843662811E-2</v>
      </c>
    </row>
  </sheetData>
  <mergeCells count="3">
    <mergeCell ref="F6:G6"/>
    <mergeCell ref="B6:C6"/>
    <mergeCell ref="O7:Q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85" workbookViewId="0">
      <selection activeCell="P89" sqref="P89"/>
    </sheetView>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61:S70"/>
  <sheetViews>
    <sheetView zoomScale="120" zoomScaleNormal="120" workbookViewId="0">
      <selection activeCell="R68" sqref="R68"/>
    </sheetView>
  </sheetViews>
  <sheetFormatPr defaultRowHeight="15" x14ac:dyDescent="0.25"/>
  <sheetData>
    <row r="61" spans="18:19" x14ac:dyDescent="0.25">
      <c r="R61" t="str">
        <f>'ODA-GNI time series'!A65</f>
        <v>2014-15</v>
      </c>
      <c r="S61" s="13">
        <f>-'ODA-GNI time series'!K65</f>
        <v>79.285646523661853</v>
      </c>
    </row>
    <row r="62" spans="18:19" x14ac:dyDescent="0.25">
      <c r="R62" t="str">
        <f>'ODA-GNI time series'!A66</f>
        <v>2015-16</v>
      </c>
      <c r="S62" s="13">
        <f>-'ODA-GNI time series'!K66</f>
        <v>952.80688791160992</v>
      </c>
    </row>
    <row r="63" spans="18:19" x14ac:dyDescent="0.25">
      <c r="R63" t="str">
        <f>'ODA-GNI time series'!A67</f>
        <v>2016-17</v>
      </c>
      <c r="S63" s="13">
        <f>-'ODA-GNI time series'!K67</f>
        <v>268.43274523466789</v>
      </c>
    </row>
    <row r="64" spans="18:19" x14ac:dyDescent="0.25">
      <c r="R64" t="str">
        <f>'ODA-GNI time series'!A68</f>
        <v>2017-18</v>
      </c>
      <c r="S64" s="13">
        <f>-'ODA-GNI time series'!K68</f>
        <v>38.037613500001498</v>
      </c>
    </row>
    <row r="65" spans="18:19" x14ac:dyDescent="0.25">
      <c r="R65" t="str">
        <f>'ODA-GNI time series'!A69</f>
        <v>2018-19</v>
      </c>
      <c r="S65" s="13">
        <f>-'ODA-GNI time series'!K69</f>
        <v>7.7325000000000728</v>
      </c>
    </row>
    <row r="66" spans="18:19" x14ac:dyDescent="0.25">
      <c r="R66" t="str">
        <f>'ODA-GNI time series'!A70</f>
        <v>2019-20</v>
      </c>
      <c r="S66" s="13">
        <f>-'ODA-GNI time series'!K70</f>
        <v>92.707317073170088</v>
      </c>
    </row>
    <row r="67" spans="18:19" x14ac:dyDescent="0.25">
      <c r="R67" t="str">
        <f>'ODA-GNI time series'!A71</f>
        <v>2020-21</v>
      </c>
      <c r="S67" s="13">
        <f>-'ODA-GNI time series'!K71</f>
        <v>261.03509815585949</v>
      </c>
    </row>
    <row r="68" spans="18:19" x14ac:dyDescent="0.25">
      <c r="R68" t="str">
        <f>'ODA-GNI time series'!A72</f>
        <v>2021-22</v>
      </c>
      <c r="S68" s="13">
        <f>-'ODA-GNI time series'!K72</f>
        <v>92.859941091974633</v>
      </c>
    </row>
    <row r="69" spans="18:19" x14ac:dyDescent="0.25">
      <c r="S69" s="13"/>
    </row>
    <row r="70" spans="18:19" x14ac:dyDescent="0.25">
      <c r="S70" s="1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workbookViewId="0">
      <selection activeCell="M20" sqref="M20"/>
    </sheetView>
  </sheetViews>
  <sheetFormatPr defaultRowHeight="15" x14ac:dyDescent="0.25"/>
  <cols>
    <col min="2" max="2" width="11.5703125" customWidth="1"/>
    <col min="3" max="3" width="11.140625" customWidth="1"/>
    <col min="4" max="4" width="1.85546875" customWidth="1"/>
    <col min="5" max="5" width="10.5703125" customWidth="1"/>
    <col min="6" max="6" width="12.85546875" customWidth="1"/>
    <col min="7" max="7" width="2.42578125" customWidth="1"/>
    <col min="8" max="8" width="12.140625" customWidth="1"/>
    <col min="9" max="9" width="14.85546875" customWidth="1"/>
  </cols>
  <sheetData>
    <row r="1" spans="1:9" x14ac:dyDescent="0.25">
      <c r="B1" s="88" t="s">
        <v>145</v>
      </c>
      <c r="C1" s="88"/>
      <c r="D1" s="55"/>
      <c r="E1" s="89" t="s">
        <v>146</v>
      </c>
      <c r="F1" s="89"/>
      <c r="G1" s="55"/>
      <c r="H1" s="89" t="s">
        <v>143</v>
      </c>
      <c r="I1" s="89"/>
    </row>
    <row r="2" spans="1:9" ht="30" x14ac:dyDescent="0.25">
      <c r="B2" s="46" t="s">
        <v>156</v>
      </c>
      <c r="C2" s="46" t="s">
        <v>155</v>
      </c>
      <c r="D2" s="54"/>
      <c r="E2" s="46" t="s">
        <v>156</v>
      </c>
      <c r="F2" s="46" t="s">
        <v>155</v>
      </c>
      <c r="G2" s="54"/>
      <c r="H2" s="46" t="s">
        <v>156</v>
      </c>
      <c r="I2" s="46" t="s">
        <v>155</v>
      </c>
    </row>
    <row r="3" spans="1:9" x14ac:dyDescent="0.25">
      <c r="A3" t="str">
        <f>'2018-19 budget'!A3</f>
        <v>2012-13</v>
      </c>
      <c r="B3" s="12">
        <f>'2018-19 budget'!B3</f>
        <v>4856.4567193147004</v>
      </c>
      <c r="C3" s="12">
        <f>'2018-19 budget'!J3</f>
        <v>5454.2811086556994</v>
      </c>
    </row>
    <row r="4" spans="1:9" x14ac:dyDescent="0.25">
      <c r="A4" t="str">
        <f>'2018-19 budget'!A4</f>
        <v>2013-14</v>
      </c>
      <c r="B4" s="12">
        <f>'2018-19 budget'!B4</f>
        <v>5051.5333208062984</v>
      </c>
      <c r="C4" s="12">
        <f>'2018-19 budget'!J4</f>
        <v>5507.2953931699394</v>
      </c>
      <c r="E4" s="12">
        <f>B4-B$3</f>
        <v>195.07660149159801</v>
      </c>
      <c r="F4" s="12">
        <f t="shared" ref="F4:F11" si="0">C4-C$3</f>
        <v>53.014284514239989</v>
      </c>
      <c r="H4" s="3">
        <f>B4/B$3-1</f>
        <v>4.0168504069181932E-2</v>
      </c>
      <c r="I4" s="3">
        <f>C4/C$3-1</f>
        <v>9.7197565468543079E-3</v>
      </c>
    </row>
    <row r="5" spans="1:9" x14ac:dyDescent="0.25">
      <c r="A5" t="str">
        <f>'2018-19 budget'!A5</f>
        <v>2014-15</v>
      </c>
      <c r="B5" s="12">
        <f>'2018-19 budget'!B5</f>
        <v>5054.0318415688016</v>
      </c>
      <c r="C5" s="12">
        <f>'2018-19 budget'!J5</f>
        <v>5428.0097466462785</v>
      </c>
      <c r="E5" s="12">
        <f t="shared" ref="E5:E11" si="1">B5-B$3</f>
        <v>197.57512225410119</v>
      </c>
      <c r="F5" s="12">
        <f t="shared" si="0"/>
        <v>-26.271362009420955</v>
      </c>
      <c r="H5" s="3">
        <f t="shared" ref="H5:H11" si="2">B5/B$3-1</f>
        <v>4.0682978079125354E-2</v>
      </c>
      <c r="I5" s="3">
        <f t="shared" ref="I5:I11" si="3">C5/C$3-1</f>
        <v>-4.8166497996829927E-3</v>
      </c>
    </row>
    <row r="6" spans="1:9" x14ac:dyDescent="0.25">
      <c r="A6" t="str">
        <f>'2018-19 budget'!A6</f>
        <v>2015-16</v>
      </c>
      <c r="B6" s="12">
        <f>'2018-19 budget'!B6</f>
        <v>4209.509</v>
      </c>
      <c r="C6" s="12">
        <f>'2018-19 budget'!J6</f>
        <v>4475.2028587346686</v>
      </c>
      <c r="E6" s="12">
        <f t="shared" si="1"/>
        <v>-646.94771931470041</v>
      </c>
      <c r="F6" s="12">
        <f t="shared" si="0"/>
        <v>-979.07824992103087</v>
      </c>
      <c r="H6" s="3">
        <f t="shared" si="2"/>
        <v>-0.13321393697213713</v>
      </c>
      <c r="I6" s="3">
        <f t="shared" si="3"/>
        <v>-0.17950637864397523</v>
      </c>
    </row>
    <row r="7" spans="1:9" x14ac:dyDescent="0.25">
      <c r="A7" t="str">
        <f>'2018-19 budget'!A7</f>
        <v>2016-17</v>
      </c>
      <c r="B7" s="12">
        <f>'2018-19 budget'!B7</f>
        <v>4033.53</v>
      </c>
      <c r="C7" s="12">
        <f>'2018-19 budget'!J7</f>
        <v>4206.7701134999998</v>
      </c>
      <c r="E7" s="12">
        <f t="shared" si="1"/>
        <v>-822.92671931470022</v>
      </c>
      <c r="F7" s="12">
        <f t="shared" si="0"/>
        <v>-1247.5109951556997</v>
      </c>
      <c r="H7" s="3">
        <f t="shared" si="2"/>
        <v>-0.16945002640337015</v>
      </c>
      <c r="I7" s="3">
        <f t="shared" si="3"/>
        <v>-0.22872143373321108</v>
      </c>
    </row>
    <row r="8" spans="1:9" x14ac:dyDescent="0.25">
      <c r="A8" t="str">
        <f>'2018-19 budget'!A8</f>
        <v>2017-18</v>
      </c>
      <c r="B8" s="12">
        <f>'2018-19 budget'!B8</f>
        <v>4077</v>
      </c>
      <c r="C8" s="12">
        <f>'2018-19 budget'!J8</f>
        <v>4168.7325000000001</v>
      </c>
      <c r="E8" s="12">
        <f t="shared" si="1"/>
        <v>-779.45671931470042</v>
      </c>
      <c r="F8" s="12">
        <f t="shared" si="0"/>
        <v>-1285.5486086556994</v>
      </c>
      <c r="H8" s="3">
        <f t="shared" si="2"/>
        <v>-0.16049905607409398</v>
      </c>
      <c r="I8" s="3">
        <f t="shared" si="3"/>
        <v>-0.23569533418722977</v>
      </c>
    </row>
    <row r="9" spans="1:9" x14ac:dyDescent="0.25">
      <c r="A9" t="str">
        <f>'2018-19 budget'!A9</f>
        <v>2018-19</v>
      </c>
      <c r="B9" s="12">
        <f>'2018-19 budget'!B9</f>
        <v>4161</v>
      </c>
      <c r="C9" s="12">
        <f>'2018-19 budget'!J9</f>
        <v>4161</v>
      </c>
      <c r="E9" s="12">
        <f t="shared" si="1"/>
        <v>-695.45671931470042</v>
      </c>
      <c r="F9" s="12">
        <f t="shared" si="0"/>
        <v>-1293.2811086556994</v>
      </c>
      <c r="H9" s="3">
        <f t="shared" si="2"/>
        <v>-0.14320249505133797</v>
      </c>
      <c r="I9" s="3">
        <f t="shared" si="3"/>
        <v>-0.23711302789350563</v>
      </c>
    </row>
    <row r="10" spans="1:9" x14ac:dyDescent="0.25">
      <c r="A10" t="str">
        <f>'2018-19 budget'!A10</f>
        <v>2019-20</v>
      </c>
      <c r="B10" s="12">
        <f>'2018-19 budget'!B10</f>
        <v>4170</v>
      </c>
      <c r="C10" s="12">
        <f>'2018-19 budget'!J10</f>
        <v>4068.2926829268295</v>
      </c>
      <c r="E10" s="12">
        <f t="shared" si="1"/>
        <v>-686.45671931470042</v>
      </c>
      <c r="F10" s="12">
        <f t="shared" si="0"/>
        <v>-1385.98842572887</v>
      </c>
      <c r="H10" s="3">
        <f t="shared" si="2"/>
        <v>-0.14134929208461411</v>
      </c>
      <c r="I10" s="3">
        <f t="shared" si="3"/>
        <v>-0.25411019309755933</v>
      </c>
    </row>
    <row r="11" spans="1:9" x14ac:dyDescent="0.25">
      <c r="A11" s="43" t="str">
        <f>'2018-19 budget'!A11</f>
        <v>2020-21</v>
      </c>
      <c r="B11" s="44">
        <f>'2018-19 budget'!B11</f>
        <v>4000</v>
      </c>
      <c r="C11" s="44">
        <f>'2018-19 budget'!J11</f>
        <v>3807.2575847709709</v>
      </c>
      <c r="D11" s="43"/>
      <c r="E11" s="44">
        <f t="shared" si="1"/>
        <v>-856.45671931470042</v>
      </c>
      <c r="F11" s="44">
        <f t="shared" si="0"/>
        <v>-1647.0235238847285</v>
      </c>
      <c r="G11" s="43"/>
      <c r="H11" s="45">
        <f t="shared" si="2"/>
        <v>-0.17635423701162023</v>
      </c>
      <c r="I11" s="45">
        <f t="shared" si="3"/>
        <v>-0.30196894715803635</v>
      </c>
    </row>
    <row r="12" spans="1:9" x14ac:dyDescent="0.25">
      <c r="A12" s="27" t="s">
        <v>154</v>
      </c>
      <c r="B12" s="28">
        <f>'2018-19 budget'!B12</f>
        <v>4000</v>
      </c>
      <c r="C12" s="28">
        <f>'2018-19 budget'!J12</f>
        <v>3714.3976436789958</v>
      </c>
      <c r="D12" s="27"/>
      <c r="E12" s="28">
        <f t="shared" ref="E12" si="4">B12-B$3</f>
        <v>-856.45671931470042</v>
      </c>
      <c r="F12" s="28">
        <f t="shared" ref="F12" si="5">C12-C$3</f>
        <v>-1739.8834649767036</v>
      </c>
      <c r="G12" s="27"/>
      <c r="H12" s="29">
        <f t="shared" ref="H12" si="6">B12/B$3-1</f>
        <v>-0.17635423701162023</v>
      </c>
      <c r="I12" s="29">
        <f t="shared" ref="I12" si="7">C12/C$3-1</f>
        <v>-0.31899409478832819</v>
      </c>
    </row>
  </sheetData>
  <mergeCells count="3">
    <mergeCell ref="E1:F1"/>
    <mergeCell ref="B1:C1"/>
    <mergeCell ref="H1:I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2018-19 budget</vt:lpstr>
      <vt:lpstr>ODA-GNI time series</vt:lpstr>
      <vt:lpstr>green book comparison</vt:lpstr>
      <vt:lpstr>ODA-exp time series</vt:lpstr>
      <vt:lpstr>aid-defence</vt:lpstr>
      <vt:lpstr>ODA-GNI gr</vt:lpstr>
      <vt:lpstr>ODA gr</vt:lpstr>
      <vt:lpstr>ODA tb</vt:lpstr>
    </vt:vector>
  </TitlesOfParts>
  <Company>ANU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Parima Panpruet</dc:creator>
  <cp:lastModifiedBy>Sachini Muller</cp:lastModifiedBy>
  <cp:lastPrinted>2014-05-13T04:37:30Z</cp:lastPrinted>
  <dcterms:created xsi:type="dcterms:W3CDTF">2013-08-28T03:04:12Z</dcterms:created>
  <dcterms:modified xsi:type="dcterms:W3CDTF">2018-08-15T04:41:39Z</dcterms:modified>
</cp:coreProperties>
</file>