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space\Dropbox (Devpolicy)\Research\Datasets\Australian aid statistics\The two budget spreadsheets (latest versions)\"/>
    </mc:Choice>
  </mc:AlternateContent>
  <bookViews>
    <workbookView xWindow="75" yWindow="240" windowWidth="18690" windowHeight="10770" tabRatio="714" activeTab="1"/>
  </bookViews>
  <sheets>
    <sheet name="2018-19 budget" sheetId="12" r:id="rId1"/>
    <sheet name="green book comparison" sheetId="20" r:id="rId2"/>
    <sheet name="Historic cuts comparison" sheetId="9" state="hidden" r:id="rId3"/>
  </sheets>
  <calcPr calcId="162913"/>
</workbook>
</file>

<file path=xl/calcChain.xml><?xml version="1.0" encoding="utf-8"?>
<calcChain xmlns="http://schemas.openxmlformats.org/spreadsheetml/2006/main">
  <c r="B6" i="12" l="1"/>
  <c r="B5" i="12"/>
  <c r="B4" i="12"/>
  <c r="B3" i="12"/>
  <c r="B2" i="12"/>
  <c r="K48" i="20" l="1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P11" i="12" l="1"/>
  <c r="P10" i="12"/>
  <c r="E8" i="20" l="1"/>
  <c r="G8" i="20" s="1"/>
  <c r="E9" i="20"/>
  <c r="G9" i="20" s="1"/>
  <c r="E10" i="20"/>
  <c r="G10" i="20" s="1"/>
  <c r="E11" i="20"/>
  <c r="G11" i="20" s="1"/>
  <c r="E12" i="20"/>
  <c r="G12" i="20" s="1"/>
  <c r="E13" i="20"/>
  <c r="G13" i="20" s="1"/>
  <c r="E14" i="20"/>
  <c r="G14" i="20" s="1"/>
  <c r="E15" i="20"/>
  <c r="G15" i="20" s="1"/>
  <c r="E16" i="20"/>
  <c r="G16" i="20" s="1"/>
  <c r="E17" i="20"/>
  <c r="G17" i="20" s="1"/>
  <c r="E18" i="20"/>
  <c r="G18" i="20" s="1"/>
  <c r="E19" i="20"/>
  <c r="G19" i="20" s="1"/>
  <c r="E20" i="20"/>
  <c r="G20" i="20" s="1"/>
  <c r="E21" i="20"/>
  <c r="G21" i="20" s="1"/>
  <c r="E22" i="20"/>
  <c r="G22" i="20" s="1"/>
  <c r="E23" i="20"/>
  <c r="G23" i="20" s="1"/>
  <c r="E24" i="20"/>
  <c r="G24" i="20" s="1"/>
  <c r="E25" i="20"/>
  <c r="G25" i="20" s="1"/>
  <c r="E26" i="20"/>
  <c r="G26" i="20" s="1"/>
  <c r="E27" i="20"/>
  <c r="G27" i="20" s="1"/>
  <c r="E28" i="20"/>
  <c r="G28" i="20" s="1"/>
  <c r="E29" i="20"/>
  <c r="G29" i="20" s="1"/>
  <c r="E30" i="20"/>
  <c r="G30" i="20" s="1"/>
  <c r="E31" i="20"/>
  <c r="G31" i="20" s="1"/>
  <c r="E32" i="20"/>
  <c r="G32" i="20" s="1"/>
  <c r="E33" i="20"/>
  <c r="G33" i="20" s="1"/>
  <c r="E34" i="20"/>
  <c r="G34" i="20" s="1"/>
  <c r="E35" i="20"/>
  <c r="G35" i="20" s="1"/>
  <c r="E36" i="20"/>
  <c r="G36" i="20" s="1"/>
  <c r="E37" i="20"/>
  <c r="G37" i="20" s="1"/>
  <c r="E38" i="20"/>
  <c r="G38" i="20" s="1"/>
  <c r="E39" i="20"/>
  <c r="G39" i="20" s="1"/>
  <c r="E40" i="20"/>
  <c r="G40" i="20" s="1"/>
  <c r="E41" i="20"/>
  <c r="G41" i="20" s="1"/>
  <c r="E42" i="20"/>
  <c r="G42" i="20" s="1"/>
  <c r="E43" i="20"/>
  <c r="G43" i="20" s="1"/>
  <c r="E44" i="20"/>
  <c r="G44" i="20" s="1"/>
  <c r="E45" i="20"/>
  <c r="G45" i="20" s="1"/>
  <c r="E46" i="20"/>
  <c r="G46" i="20" s="1"/>
  <c r="E47" i="20"/>
  <c r="G47" i="20" s="1"/>
  <c r="E48" i="20"/>
  <c r="G48" i="20" s="1"/>
  <c r="E49" i="20"/>
  <c r="E7" i="20"/>
  <c r="G7" i="20" s="1"/>
  <c r="G49" i="20" l="1"/>
  <c r="G2" i="12" l="1"/>
  <c r="H2" i="12" s="1"/>
  <c r="G3" i="12"/>
  <c r="G4" i="12" l="1"/>
  <c r="G5" i="12" l="1"/>
  <c r="G6" i="12"/>
  <c r="D11" i="12" l="1"/>
  <c r="F11" i="12" s="1"/>
  <c r="C11" i="12"/>
  <c r="E11" i="12"/>
  <c r="Z11" i="12"/>
  <c r="V7" i="12"/>
  <c r="Y7" i="12" s="1"/>
  <c r="G21" i="9" s="1"/>
  <c r="C10" i="12"/>
  <c r="E10" i="12"/>
  <c r="E9" i="12"/>
  <c r="C9" i="12"/>
  <c r="Z10" i="12"/>
  <c r="D10" i="12"/>
  <c r="F10" i="12" s="1"/>
  <c r="Z9" i="12"/>
  <c r="P9" i="12"/>
  <c r="D9" i="12"/>
  <c r="F9" i="12" s="1"/>
  <c r="Y2" i="12"/>
  <c r="G16" i="9" s="1"/>
  <c r="Y4" i="12"/>
  <c r="G18" i="9" s="1"/>
  <c r="Y5" i="12"/>
  <c r="G19" i="9" s="1"/>
  <c r="Y3" i="12"/>
  <c r="G17" i="9" s="1"/>
  <c r="C18" i="9"/>
  <c r="Z8" i="12"/>
  <c r="P8" i="12"/>
  <c r="E8" i="12"/>
  <c r="D8" i="12"/>
  <c r="F8" i="12" s="1"/>
  <c r="C8" i="12"/>
  <c r="Z7" i="12"/>
  <c r="P7" i="12"/>
  <c r="D7" i="12"/>
  <c r="F7" i="12" s="1"/>
  <c r="P6" i="12"/>
  <c r="Z5" i="12"/>
  <c r="P5" i="12"/>
  <c r="E5" i="12"/>
  <c r="D5" i="12"/>
  <c r="F5" i="12" s="1"/>
  <c r="C5" i="12"/>
  <c r="Z4" i="12"/>
  <c r="P4" i="12"/>
  <c r="E4" i="12"/>
  <c r="D4" i="12"/>
  <c r="F4" i="12" s="1"/>
  <c r="C4" i="12"/>
  <c r="Z3" i="12"/>
  <c r="P3" i="12"/>
  <c r="E3" i="12"/>
  <c r="D3" i="12"/>
  <c r="F3" i="12" s="1"/>
  <c r="C3" i="12"/>
  <c r="Z2" i="12"/>
  <c r="D16" i="9"/>
  <c r="G10" i="9"/>
  <c r="G9" i="9"/>
  <c r="G11" i="9"/>
  <c r="G12" i="9"/>
  <c r="G13" i="9"/>
  <c r="G14" i="9"/>
  <c r="C10" i="9"/>
  <c r="C11" i="9"/>
  <c r="C12" i="9"/>
  <c r="C13" i="9"/>
  <c r="C14" i="9"/>
  <c r="C9" i="9"/>
  <c r="G3" i="9"/>
  <c r="G2" i="9"/>
  <c r="G4" i="9"/>
  <c r="G5" i="9"/>
  <c r="G6" i="9"/>
  <c r="G7" i="9"/>
  <c r="H7" i="9" s="1"/>
  <c r="C3" i="9"/>
  <c r="C4" i="9"/>
  <c r="C5" i="9"/>
  <c r="C6" i="9"/>
  <c r="C7" i="9"/>
  <c r="C2" i="9"/>
  <c r="D18" i="9"/>
  <c r="D17" i="9"/>
  <c r="D19" i="9"/>
  <c r="D20" i="9"/>
  <c r="D21" i="9"/>
  <c r="E19" i="9" l="1"/>
  <c r="F19" i="9" s="1"/>
  <c r="H6" i="9"/>
  <c r="H5" i="9"/>
  <c r="H14" i="9"/>
  <c r="H10" i="9"/>
  <c r="E18" i="9"/>
  <c r="F18" i="9" s="1"/>
  <c r="E21" i="9"/>
  <c r="F21" i="9" s="1"/>
  <c r="H4" i="9"/>
  <c r="E17" i="9"/>
  <c r="F17" i="9" s="1"/>
  <c r="H13" i="9"/>
  <c r="E20" i="9"/>
  <c r="F20" i="9" s="1"/>
  <c r="H3" i="9"/>
  <c r="V8" i="12"/>
  <c r="V9" i="12" s="1"/>
  <c r="V10" i="12" s="1"/>
  <c r="H18" i="9"/>
  <c r="C19" i="9"/>
  <c r="C16" i="9"/>
  <c r="H12" i="9"/>
  <c r="H3" i="12"/>
  <c r="H11" i="9"/>
  <c r="H17" i="9"/>
  <c r="B27" i="9"/>
  <c r="C27" i="9" s="1"/>
  <c r="H19" i="9"/>
  <c r="C21" i="9"/>
  <c r="C17" i="9"/>
  <c r="Y8" i="12" l="1"/>
  <c r="Y9" i="12"/>
  <c r="H4" i="12"/>
  <c r="V11" i="12"/>
  <c r="Y10" i="12"/>
  <c r="H5" i="12" l="1"/>
  <c r="H6" i="12" s="1"/>
  <c r="Y11" i="12"/>
  <c r="H7" i="12" l="1"/>
  <c r="H8" i="12" l="1"/>
  <c r="I4" i="12" l="1"/>
  <c r="I3" i="12"/>
  <c r="H9" i="12"/>
  <c r="G12" i="12"/>
  <c r="I5" i="12"/>
  <c r="I6" i="12"/>
  <c r="Q6" i="12" s="1"/>
  <c r="I7" i="12"/>
  <c r="I9" i="12" l="1"/>
  <c r="H10" i="12"/>
  <c r="H11" i="12" l="1"/>
  <c r="I10" i="12"/>
  <c r="D14" i="9"/>
  <c r="D3" i="9"/>
  <c r="D11" i="9"/>
  <c r="D4" i="9"/>
  <c r="D13" i="9"/>
  <c r="D12" i="9"/>
  <c r="E12" i="9" s="1"/>
  <c r="F12" i="9" s="1"/>
  <c r="D6" i="9"/>
  <c r="D2" i="9"/>
  <c r="D5" i="9"/>
  <c r="D7" i="9"/>
  <c r="D10" i="9"/>
  <c r="D9" i="9"/>
  <c r="E10" i="9" l="1"/>
  <c r="F10" i="9" s="1"/>
  <c r="E5" i="9"/>
  <c r="F5" i="9" s="1"/>
  <c r="E14" i="9"/>
  <c r="F14" i="9" s="1"/>
  <c r="E6" i="9"/>
  <c r="F6" i="9" s="1"/>
  <c r="E11" i="9"/>
  <c r="F11" i="9" s="1"/>
  <c r="E3" i="9"/>
  <c r="I11" i="12"/>
  <c r="E7" i="9"/>
  <c r="F7" i="9" s="1"/>
  <c r="E13" i="9"/>
  <c r="F13" i="9" s="1"/>
  <c r="E4" i="9"/>
  <c r="F4" i="9" s="1"/>
  <c r="B26" i="9" l="1"/>
  <c r="C26" i="9" s="1"/>
  <c r="Q11" i="12"/>
  <c r="J11" i="12"/>
  <c r="F3" i="9"/>
  <c r="B25" i="9"/>
  <c r="C25" i="9" s="1"/>
  <c r="Q9" i="12"/>
  <c r="J4" i="12"/>
  <c r="J3" i="12"/>
  <c r="Q4" i="12"/>
  <c r="Q10" i="12"/>
  <c r="J10" i="12"/>
  <c r="J7" i="12"/>
  <c r="J9" i="12"/>
  <c r="Q5" i="12"/>
  <c r="Q7" i="12"/>
  <c r="Q8" i="12"/>
  <c r="Q3" i="12"/>
  <c r="J5" i="12"/>
  <c r="J8" i="12"/>
  <c r="I2" i="12"/>
  <c r="J2" i="12" s="1"/>
  <c r="K3" i="12" l="1"/>
  <c r="K9" i="12"/>
  <c r="S7" i="12"/>
  <c r="L11" i="12"/>
  <c r="M11" i="12" s="1"/>
  <c r="S11" i="12"/>
  <c r="N5" i="12"/>
  <c r="S4" i="12"/>
  <c r="Q2" i="12"/>
  <c r="R6" i="12" s="1"/>
  <c r="S3" i="12"/>
  <c r="K11" i="12"/>
  <c r="N11" i="12"/>
  <c r="K8" i="12"/>
  <c r="N8" i="12"/>
  <c r="S5" i="12"/>
  <c r="S10" i="12"/>
  <c r="N10" i="12"/>
  <c r="K4" i="12"/>
  <c r="L8" i="12"/>
  <c r="M8" i="12" s="1"/>
  <c r="L9" i="12"/>
  <c r="M9" i="12" s="1"/>
  <c r="L5" i="12"/>
  <c r="M5" i="12" s="1"/>
  <c r="N3" i="12"/>
  <c r="L4" i="12"/>
  <c r="M4" i="12" s="1"/>
  <c r="N9" i="12"/>
  <c r="K5" i="12"/>
  <c r="N4" i="12"/>
  <c r="K10" i="12"/>
  <c r="S8" i="12"/>
  <c r="S9" i="12"/>
  <c r="L7" i="12"/>
  <c r="M7" i="12" s="1"/>
  <c r="L3" i="12"/>
  <c r="M3" i="12" s="1"/>
  <c r="L10" i="12"/>
  <c r="M10" i="12" s="1"/>
  <c r="T5" i="12" l="1"/>
  <c r="R10" i="12"/>
  <c r="R11" i="12"/>
  <c r="T11" i="12"/>
  <c r="R5" i="12"/>
  <c r="R8" i="12"/>
  <c r="R7" i="12"/>
  <c r="S2" i="12"/>
  <c r="U11" i="12" s="1"/>
  <c r="T4" i="12"/>
  <c r="R4" i="12"/>
  <c r="R9" i="12"/>
  <c r="R3" i="12"/>
  <c r="T10" i="12"/>
  <c r="T9" i="12"/>
  <c r="T8" i="12"/>
  <c r="U3" i="12" l="1"/>
  <c r="U5" i="12"/>
  <c r="U10" i="12"/>
  <c r="U8" i="12"/>
  <c r="T3" i="12"/>
  <c r="U7" i="12"/>
  <c r="U9" i="12"/>
  <c r="U4" i="12"/>
  <c r="C20" i="9" l="1"/>
  <c r="E6" i="12"/>
  <c r="Z6" i="12" l="1"/>
  <c r="E7" i="12"/>
  <c r="C7" i="12"/>
  <c r="D6" i="12"/>
  <c r="F6" i="12" s="1"/>
  <c r="J6" i="12"/>
  <c r="Y6" i="12"/>
  <c r="G20" i="9" s="1"/>
  <c r="C6" i="12"/>
  <c r="H20" i="9" l="1"/>
  <c r="H21" i="9"/>
  <c r="N7" i="12"/>
  <c r="K7" i="12"/>
  <c r="K6" i="12"/>
  <c r="L6" i="12"/>
  <c r="M6" i="12" s="1"/>
  <c r="N6" i="12"/>
  <c r="S6" i="12"/>
  <c r="T6" i="12" l="1"/>
  <c r="T7" i="12"/>
  <c r="U6" i="12"/>
</calcChain>
</file>

<file path=xl/sharedStrings.xml><?xml version="1.0" encoding="utf-8"?>
<sst xmlns="http://schemas.openxmlformats.org/spreadsheetml/2006/main" count="141" uniqueCount="114">
  <si>
    <t>Year</t>
  </si>
  <si>
    <t>2009-10</t>
  </si>
  <si>
    <t>2010-11</t>
  </si>
  <si>
    <t>2011-12</t>
  </si>
  <si>
    <t>2013-14</t>
  </si>
  <si>
    <t>2012-13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</si>
  <si>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</si>
  <si>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</si>
  <si>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</si>
  <si>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</si>
  <si>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</si>
  <si>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</si>
  <si>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</si>
  <si>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</si>
  <si>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</si>
  <si>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</si>
  <si>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</si>
  <si>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</si>
  <si>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</si>
  <si>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</si>
  <si>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</si>
  <si>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</si>
  <si>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</si>
  <si>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</si>
  <si>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</si>
  <si>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</si>
  <si>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</si>
  <si>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</si>
  <si>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</si>
  <si>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</si>
  <si>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</si>
  <si>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</si>
  <si>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</si>
  <si>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</si>
  <si>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</si>
  <si>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</si>
  <si>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</si>
  <si>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2006-07</t>
  </si>
  <si>
    <t>2007-08</t>
  </si>
  <si>
    <t>2008-09</t>
  </si>
  <si>
    <t>2005-06</t>
  </si>
  <si>
    <t>2017-18</t>
  </si>
  <si>
    <t>2016-17</t>
  </si>
  <si>
    <t>2015-16</t>
  </si>
  <si>
    <t>2014-15</t>
  </si>
  <si>
    <t>% real cuts cumulative</t>
  </si>
  <si>
    <t>% real cuts annual</t>
  </si>
  <si>
    <t>Total exp ($b)</t>
  </si>
  <si>
    <t>Real exp ($b)</t>
  </si>
  <si>
    <t>% nominal exp growth</t>
  </si>
  <si>
    <t>% real non-aid growth</t>
  </si>
  <si>
    <t>CPI (%)</t>
  </si>
  <si>
    <t>Sources</t>
  </si>
  <si>
    <t>% real exp growth</t>
  </si>
  <si>
    <t>Real Change Over Previous Year</t>
  </si>
  <si>
    <t>ODA/GNI Ratio</t>
  </si>
  <si>
    <t>Hawke-Keating</t>
  </si>
  <si>
    <t>Howard-Costello</t>
  </si>
  <si>
    <t>Abbott-Hockey</t>
  </si>
  <si>
    <t>ODA/GNI ratio change</t>
  </si>
  <si>
    <t>GNI ($b)</t>
  </si>
  <si>
    <t>Cumulative cuts</t>
  </si>
  <si>
    <t>1999-00</t>
  </si>
  <si>
    <t>% cuts (RHS)</t>
  </si>
  <si>
    <t>Hawke-Keating (84/5-87/8)</t>
  </si>
  <si>
    <t>Howard-Costello (95/6-97/8)</t>
  </si>
  <si>
    <t>Abbott-Hockey (12/3-16/17)</t>
  </si>
  <si>
    <t>2018-19</t>
  </si>
  <si>
    <t>cumulative real cuts</t>
  </si>
  <si>
    <t>Real year on year change</t>
  </si>
  <si>
    <t>Nominal change (%)</t>
  </si>
  <si>
    <t>Cumulative nominal change (%)</t>
  </si>
  <si>
    <t>Real non-aid ($M)</t>
  </si>
  <si>
    <t>Real non-aid increases ($M)</t>
  </si>
  <si>
    <t>Real GDP growth forecast (%)</t>
  </si>
  <si>
    <t>Nominal GDP growth forecast (%)</t>
  </si>
  <si>
    <t>Nominal year on year change ($M)</t>
  </si>
  <si>
    <t>Cumulative nominal cuts ($M)</t>
  </si>
  <si>
    <t>ODA ($M)</t>
  </si>
  <si>
    <t>ODA/GNI</t>
  </si>
  <si>
    <t>ODA/govt. exp.</t>
  </si>
  <si>
    <t>Total Australian ODA ($ M)</t>
  </si>
  <si>
    <t>Total Australian ODA Constant Prices (2015-16 $M)</t>
  </si>
  <si>
    <t>Year-on-year cut ($ M)</t>
  </si>
  <si>
    <t>$M cuts (LHS)</t>
  </si>
  <si>
    <t>Aid data</t>
  </si>
  <si>
    <t>Total Federal Expenditure</t>
  </si>
  <si>
    <t>2019-20</t>
  </si>
  <si>
    <t>CPI Index 2011-12 base</t>
  </si>
  <si>
    <t>CPI and GNI</t>
  </si>
  <si>
    <t>2020-21</t>
  </si>
  <si>
    <r>
      <t xml:space="preserve">CPI Index </t>
    </r>
    <r>
      <rPr>
        <sz val="11"/>
        <color rgb="FFFF0000"/>
        <rFont val="Calibri"/>
        <family val="2"/>
        <scheme val="minor"/>
      </rPr>
      <t>2018-19</t>
    </r>
    <r>
      <rPr>
        <sz val="11"/>
        <color theme="1"/>
        <rFont val="Calibri"/>
        <family val="2"/>
        <scheme val="minor"/>
      </rPr>
      <t xml:space="preserve"> base</t>
    </r>
  </si>
  <si>
    <r>
      <t>Real aid (</t>
    </r>
    <r>
      <rPr>
        <sz val="11"/>
        <color rgb="FFFF0000"/>
        <rFont val="Calibri"/>
        <family val="2"/>
        <scheme val="minor"/>
      </rPr>
      <t>2018-19</t>
    </r>
    <r>
      <rPr>
        <sz val="11"/>
        <color theme="1"/>
        <rFont val="Calibri"/>
        <family val="2"/>
        <scheme val="minor"/>
      </rPr>
      <t>) ($M)</t>
    </r>
  </si>
  <si>
    <r>
      <t xml:space="preserve">Inflation factor to convert from 2011-12 prices to </t>
    </r>
    <r>
      <rPr>
        <b/>
        <sz val="11"/>
        <color rgb="FFFF0000"/>
        <rFont val="Calibri"/>
        <family val="2"/>
        <scheme val="minor"/>
      </rPr>
      <t>2018-19</t>
    </r>
    <r>
      <rPr>
        <b/>
        <sz val="11"/>
        <color theme="1"/>
        <rFont val="Calibri"/>
        <family val="2"/>
        <scheme val="minor"/>
      </rPr>
      <t xml:space="preserve"> prices</t>
    </r>
  </si>
  <si>
    <t>2021-22</t>
  </si>
  <si>
    <t>Total expenditure from 2017-18 MYEFO Appendix D, Table D1, 'payments' (updated 7/5/18)</t>
  </si>
  <si>
    <t>2017-18 and 2018-19 from 2018-19 budget</t>
  </si>
  <si>
    <t>Aid projections from DFAT</t>
  </si>
  <si>
    <t>$m</t>
  </si>
  <si>
    <t>$thousand</t>
  </si>
  <si>
    <t>This sheet compares the statistical data released by DFAT in different years for total ODA</t>
  </si>
  <si>
    <t>Green book 2018</t>
  </si>
  <si>
    <t>Green book 2017</t>
  </si>
  <si>
    <t>Difference (2018 minus 2017)</t>
  </si>
  <si>
    <t>Green book 2016</t>
  </si>
  <si>
    <t>Difference (2016 minus 2015)</t>
  </si>
  <si>
    <t>ref: http://dfat.gov.au/about-us/publications/aid/statistical-summary-time-series-data/Pages/australias-international-development-assistance-official-sector-statistical-summary.aspx</t>
  </si>
  <si>
    <t>Australia's International Development Assistance: Official Sector Statistical Summary 2016-17</t>
  </si>
  <si>
    <t>Earlier years from the most recent statistical summary (see "green book comparison")</t>
  </si>
  <si>
    <t xml:space="preserve">Historical CPI and GNI from ABS (up to 2016-17). </t>
  </si>
  <si>
    <t>From 2017-18 onwards, CPI and growth projections as per budget (GDP growth projections used for GNI)</t>
  </si>
  <si>
    <t>Australia's International Development Assistance: Official Sector Statistical Summary 2015-16</t>
  </si>
  <si>
    <t>Australia's International Development Assistance: Official Sector Statistical Summary 2014-15</t>
  </si>
  <si>
    <t>ref: http://dfat.gov.au/about-us/publications/Documents/statistical-summary-2014-15.pdf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</si>
</sst>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46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3" fillId="0" borderId="0" xfId="2"/>
    <xf numFmtId="164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2" fontId="0" fillId="0" borderId="0" xfId="1" applyNumberFormat="1" applyFont="1"/>
    <xf numFmtId="9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0" fontId="5" fillId="0" borderId="0" xfId="0" applyFont="1"/>
    <xf numFmtId="0" fontId="0" fillId="0" borderId="0" xfId="0" applyFont="1"/>
    <xf numFmtId="3" fontId="0" fillId="0" borderId="0" xfId="0" applyNumberFormat="1" applyFill="1"/>
    <xf numFmtId="166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43" fontId="0" fillId="0" borderId="0" xfId="4" applyFont="1" applyFill="1"/>
    <xf numFmtId="10" fontId="0" fillId="0" borderId="0" xfId="0" applyNumberFormat="1" applyFill="1"/>
    <xf numFmtId="10" fontId="0" fillId="0" borderId="0" xfId="1" applyNumberFormat="1" applyFont="1" applyFill="1"/>
    <xf numFmtId="164" fontId="0" fillId="0" borderId="0" xfId="0" applyNumberFormat="1" applyFill="1"/>
    <xf numFmtId="165" fontId="0" fillId="0" borderId="0" xfId="0" applyNumberFormat="1" applyFill="1" applyAlignment="1">
      <alignment horizontal="right"/>
    </xf>
    <xf numFmtId="43" fontId="0" fillId="0" borderId="0" xfId="4" applyNumberFormat="1" applyFont="1" applyFill="1"/>
    <xf numFmtId="166" fontId="0" fillId="2" borderId="1" xfId="0" applyNumberFormat="1" applyFill="1" applyBorder="1"/>
    <xf numFmtId="43" fontId="0" fillId="0" borderId="0" xfId="0" applyNumberFormat="1"/>
    <xf numFmtId="0" fontId="0" fillId="0" borderId="0" xfId="0" applyFont="1" applyBorder="1"/>
    <xf numFmtId="167" fontId="0" fillId="0" borderId="0" xfId="0" applyNumberFormat="1" applyFont="1" applyBorder="1"/>
    <xf numFmtId="167" fontId="0" fillId="0" borderId="0" xfId="0" applyNumberFormat="1" applyFont="1" applyFill="1" applyBorder="1"/>
    <xf numFmtId="9" fontId="0" fillId="0" borderId="0" xfId="1" applyFont="1"/>
    <xf numFmtId="167" fontId="0" fillId="0" borderId="0" xfId="0" applyNumberFormat="1"/>
    <xf numFmtId="0" fontId="0" fillId="0" borderId="0" xfId="0" applyFill="1" applyAlignment="1">
      <alignment wrapText="1"/>
    </xf>
    <xf numFmtId="41" fontId="0" fillId="0" borderId="0" xfId="0" applyNumberFormat="1" applyFont="1" applyBorder="1"/>
    <xf numFmtId="41" fontId="0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Border="1" applyAlignment="1">
      <alignment horizontal="center"/>
    </xf>
  </cellXfs>
  <cellStyles count="7">
    <cellStyle name="Comma" xfId="4" builtinId="3"/>
    <cellStyle name="Comma 2" xfId="6"/>
    <cellStyle name="Hyperlink" xfId="2" builtinId="8"/>
    <cellStyle name="Hyperlink 2" xfId="5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CCECFF"/>
      <color rgb="FFFFCC99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71095103284999E-2"/>
          <c:y val="9.8956570723578524E-2"/>
          <c:w val="0.84593149739411477"/>
          <c:h val="0.73397238869587944"/>
        </c:manualLayout>
      </c:layout>
      <c:lineChart>
        <c:grouping val="standard"/>
        <c:varyColors val="0"/>
        <c:ser>
          <c:idx val="0"/>
          <c:order val="0"/>
          <c:tx>
            <c:strRef>
              <c:f>'Historic cuts comparison'!$B$24</c:f>
              <c:strCache>
                <c:ptCount val="1"/>
                <c:pt idx="0">
                  <c:v>$M cuts (LHS)</c:v>
                </c:pt>
              </c:strCache>
            </c:strRef>
          </c:tx>
          <c:marker>
            <c:symbol val="none"/>
          </c:marker>
          <c:cat>
            <c:strRef>
              <c:f>'Historic cuts comparison'!$A$25:$A$27</c:f>
              <c:strCache>
                <c:ptCount val="3"/>
                <c:pt idx="0">
                  <c:v>Hawke-Keating (84/5-87/8)</c:v>
                </c:pt>
                <c:pt idx="1">
                  <c:v>Howard-Costello (95/6-97/8)</c:v>
                </c:pt>
                <c:pt idx="2">
                  <c:v>Abbott-Hockey (12/3-16/17)</c:v>
                </c:pt>
              </c:strCache>
            </c:strRef>
          </c:cat>
          <c:val>
            <c:numRef>
              <c:f>'Historic cuts comparison'!$B$25:$B$27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C-4C80-8A07-7CD1502F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78472"/>
        <c:axId val="205778864"/>
      </c:lineChart>
      <c:lineChart>
        <c:grouping val="standard"/>
        <c:varyColors val="0"/>
        <c:ser>
          <c:idx val="1"/>
          <c:order val="1"/>
          <c:tx>
            <c:strRef>
              <c:f>'Historic cuts comparison'!$C$24</c:f>
              <c:strCache>
                <c:ptCount val="1"/>
                <c:pt idx="0">
                  <c:v>% cuts (RHS)</c:v>
                </c:pt>
              </c:strCache>
            </c:strRef>
          </c:tx>
          <c:marker>
            <c:symbol val="none"/>
          </c:marker>
          <c:cat>
            <c:strRef>
              <c:f>'Historic cuts comparison'!$A$25:$A$27</c:f>
              <c:strCache>
                <c:ptCount val="3"/>
                <c:pt idx="0">
                  <c:v>Hawke-Keating (84/5-87/8)</c:v>
                </c:pt>
                <c:pt idx="1">
                  <c:v>Howard-Costello (95/6-97/8)</c:v>
                </c:pt>
                <c:pt idx="2">
                  <c:v>Abbott-Hockey (12/3-16/17)</c:v>
                </c:pt>
              </c:strCache>
            </c:strRef>
          </c:cat>
          <c:val>
            <c:numRef>
              <c:f>'Historic cuts comparison'!$C$25:$C$27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C-4C80-8A07-7CD1502F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34528"/>
        <c:axId val="205779256"/>
      </c:lineChart>
      <c:catAx>
        <c:axId val="205778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5778864"/>
        <c:crosses val="autoZero"/>
        <c:auto val="1"/>
        <c:lblAlgn val="ctr"/>
        <c:lblOffset val="100"/>
        <c:noMultiLvlLbl val="0"/>
      </c:catAx>
      <c:valAx>
        <c:axId val="205778864"/>
        <c:scaling>
          <c:orientation val="minMax"/>
          <c:max val="18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AU" b="1"/>
                  <a:t>2015-16 $A m</a:t>
                </a:r>
              </a:p>
            </c:rich>
          </c:tx>
          <c:layout>
            <c:manualLayout>
              <c:xMode val="edge"/>
              <c:yMode val="edge"/>
              <c:x val="2.807014320338428E-2"/>
              <c:y val="1.5057595839562709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05778472"/>
        <c:crosses val="autoZero"/>
        <c:crossBetween val="between"/>
      </c:valAx>
      <c:valAx>
        <c:axId val="2057792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05434528"/>
        <c:crosses val="max"/>
        <c:crossBetween val="between"/>
      </c:valAx>
      <c:catAx>
        <c:axId val="20543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7792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131364</xdr:colOff>
      <xdr:row>0</xdr:row>
      <xdr:rowOff>111917</xdr:rowOff>
    </xdr:from>
    <xdr:to>
      <xdr:col>17</xdr:col>
      <xdr:colOff>607217</xdr:colOff>
      <xdr:row>18</xdr:row>
      <xdr:rowOff>36909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5" x14ac:dyDescent="0.25"/>
  <cols>
    <col min="22" max="22" width="11.140625" bestFit="1" customWidth="1"/>
  </cols>
  <sheetData>
    <row r="1" spans="1:26" ht="75" x14ac:dyDescent="0.25">
      <c r="A1" s="12" t="s">
        <v>0</v>
      </c>
      <c r="B1" s="12" t="s">
        <v>78</v>
      </c>
      <c r="C1" s="12" t="s">
        <v>76</v>
      </c>
      <c r="D1" s="12" t="s">
        <v>77</v>
      </c>
      <c r="E1" s="12" t="s">
        <v>70</v>
      </c>
      <c r="F1" s="12" t="s">
        <v>71</v>
      </c>
      <c r="G1" s="12" t="s">
        <v>51</v>
      </c>
      <c r="H1" s="12" t="s">
        <v>88</v>
      </c>
      <c r="I1" s="12" t="s">
        <v>91</v>
      </c>
      <c r="J1" s="12" t="s">
        <v>92</v>
      </c>
      <c r="K1" s="12" t="s">
        <v>69</v>
      </c>
      <c r="L1" s="12" t="s">
        <v>68</v>
      </c>
      <c r="M1" s="12" t="s">
        <v>45</v>
      </c>
      <c r="N1" s="12" t="s">
        <v>46</v>
      </c>
      <c r="O1" s="12" t="s">
        <v>47</v>
      </c>
      <c r="P1" s="12" t="s">
        <v>49</v>
      </c>
      <c r="Q1" s="12" t="s">
        <v>48</v>
      </c>
      <c r="R1" s="12" t="s">
        <v>53</v>
      </c>
      <c r="S1" s="12" t="s">
        <v>72</v>
      </c>
      <c r="T1" s="12" t="s">
        <v>73</v>
      </c>
      <c r="U1" s="12" t="s">
        <v>50</v>
      </c>
      <c r="V1" s="12" t="s">
        <v>60</v>
      </c>
      <c r="W1" s="12" t="s">
        <v>74</v>
      </c>
      <c r="X1" s="35" t="s">
        <v>75</v>
      </c>
      <c r="Y1" s="12" t="s">
        <v>79</v>
      </c>
      <c r="Z1" s="12" t="s">
        <v>80</v>
      </c>
    </row>
    <row r="2" spans="1:26" x14ac:dyDescent="0.25">
      <c r="A2" t="s">
        <v>5</v>
      </c>
      <c r="B2" s="13">
        <f>'green book comparison'!E45</f>
        <v>4856.4567193147004</v>
      </c>
      <c r="G2" s="21">
        <f>((102.8/100.4)-1)*100</f>
        <v>2.3904382470119501</v>
      </c>
      <c r="H2" s="19">
        <f>(1+G2/100)</f>
        <v>1.0239043824701195</v>
      </c>
      <c r="I2" s="19">
        <f>H2/H$8*I$8</f>
        <v>0.89039355005148546</v>
      </c>
      <c r="J2" s="18">
        <f>B2/I2</f>
        <v>5454.2811086556994</v>
      </c>
      <c r="K2" s="20"/>
      <c r="L2" s="10"/>
      <c r="M2" s="10"/>
      <c r="N2" s="10"/>
      <c r="O2" s="21">
        <v>367.20400000000001</v>
      </c>
      <c r="P2" s="10"/>
      <c r="Q2" s="21">
        <f t="shared" ref="Q2:Q11" si="0">O2/I2</f>
        <v>412.40640161731528</v>
      </c>
      <c r="R2" s="10"/>
      <c r="S2" s="18">
        <f t="shared" ref="S2:S11" si="1">Q2*1000-J2</f>
        <v>406952.12050865963</v>
      </c>
      <c r="T2" s="10"/>
      <c r="U2" s="10"/>
      <c r="V2" s="22">
        <v>1495.6690000000001</v>
      </c>
      <c r="W2" s="10"/>
      <c r="X2" s="10"/>
      <c r="Y2" s="23">
        <f t="shared" ref="Y2:Y11" si="2">(B2/1000)/V2</f>
        <v>3.2470130218081009E-3</v>
      </c>
      <c r="Z2" s="24">
        <f t="shared" ref="Z2:Z11" si="3">B2/O2/1000</f>
        <v>1.3225500591809186E-2</v>
      </c>
    </row>
    <row r="3" spans="1:26" x14ac:dyDescent="0.25">
      <c r="A3" t="s">
        <v>4</v>
      </c>
      <c r="B3" s="13">
        <f>'green book comparison'!E46</f>
        <v>5051.5333208062984</v>
      </c>
      <c r="C3" s="6">
        <f>B3-B2</f>
        <v>195.07660149159801</v>
      </c>
      <c r="D3" s="6">
        <f>B3-B2</f>
        <v>195.07660149159801</v>
      </c>
      <c r="E3" s="4">
        <f>B3/B2-1</f>
        <v>4.0168504069181932E-2</v>
      </c>
      <c r="F3" s="4">
        <f t="shared" ref="F3:F10" si="4">D3/B$2</f>
        <v>4.0168504069181835E-2</v>
      </c>
      <c r="G3" s="21">
        <f>((105.9/102.8)-1)*100</f>
        <v>3.0155642023346418</v>
      </c>
      <c r="H3" s="19">
        <f t="shared" ref="H3:H10" si="5">H2*(1+G3/100)</f>
        <v>1.0547808764940241</v>
      </c>
      <c r="I3" s="19">
        <f t="shared" ref="I3:I11" si="6">H3/H$8*I$8</f>
        <v>0.91724393920673475</v>
      </c>
      <c r="J3" s="18">
        <f>B3/I3</f>
        <v>5507.2953931699394</v>
      </c>
      <c r="K3" s="20">
        <f>J3-J2</f>
        <v>53.014284514239989</v>
      </c>
      <c r="L3" s="20">
        <f>J3-J2</f>
        <v>53.014284514239989</v>
      </c>
      <c r="M3" s="11">
        <f t="shared" ref="M3:M9" si="7">L3/J$2</f>
        <v>9.7197565468543044E-3</v>
      </c>
      <c r="N3" s="11">
        <f t="shared" ref="N3:N8" si="8">J3/J2-1</f>
        <v>9.7197565468543079E-3</v>
      </c>
      <c r="O3" s="21">
        <v>406.43</v>
      </c>
      <c r="P3" s="11">
        <f>O3/O2-1</f>
        <v>0.10682345508218871</v>
      </c>
      <c r="Q3" s="21">
        <f t="shared" si="0"/>
        <v>443.09913931019827</v>
      </c>
      <c r="R3" s="11">
        <f>Q3/Q2-1</f>
        <v>7.4423523913587974E-2</v>
      </c>
      <c r="S3" s="18">
        <f t="shared" si="1"/>
        <v>437591.84391702834</v>
      </c>
      <c r="T3" s="18">
        <f t="shared" ref="T3:T8" si="9">S3-S2</f>
        <v>30639.723408368707</v>
      </c>
      <c r="U3" s="25">
        <f t="shared" ref="U3:U9" si="10">S3/S$2-1</f>
        <v>7.5290732900153756E-2</v>
      </c>
      <c r="V3" s="22">
        <v>1553.9469999999999</v>
      </c>
      <c r="W3" s="10"/>
      <c r="X3" s="10"/>
      <c r="Y3" s="23">
        <f t="shared" si="2"/>
        <v>3.2507758120491228E-3</v>
      </c>
      <c r="Z3" s="24">
        <f t="shared" si="3"/>
        <v>1.2429036539641017E-2</v>
      </c>
    </row>
    <row r="4" spans="1:26" x14ac:dyDescent="0.25">
      <c r="A4" t="s">
        <v>44</v>
      </c>
      <c r="B4" s="13">
        <f>'green book comparison'!E47</f>
        <v>5054.0318415688016</v>
      </c>
      <c r="C4">
        <f>B4-B3</f>
        <v>2.4985207625031762</v>
      </c>
      <c r="D4" s="6">
        <f t="shared" ref="D4:D11" si="11">B4-B$2</f>
        <v>197.57512225410119</v>
      </c>
      <c r="E4" s="4">
        <f>B4/B3-1</f>
        <v>4.9460641033727271E-4</v>
      </c>
      <c r="F4" s="4">
        <f t="shared" si="4"/>
        <v>4.0682978079125395E-2</v>
      </c>
      <c r="G4" s="21">
        <f>((107.5/105.9)-1)*100</f>
        <v>1.5108593012275628</v>
      </c>
      <c r="H4" s="19">
        <f t="shared" si="5"/>
        <v>1.0707171314741037</v>
      </c>
      <c r="I4" s="19">
        <f t="shared" si="6"/>
        <v>0.93110220457718584</v>
      </c>
      <c r="J4" s="18">
        <f>B4/I4</f>
        <v>5428.0097466462785</v>
      </c>
      <c r="K4" s="20">
        <f t="shared" ref="K4:K8" si="12">J4-J3</f>
        <v>-79.285646523660944</v>
      </c>
      <c r="L4" s="20">
        <f t="shared" ref="L4:L8" si="13">J4-J$2</f>
        <v>-26.271362009420955</v>
      </c>
      <c r="M4" s="11">
        <f t="shared" si="7"/>
        <v>-4.8166497996829467E-3</v>
      </c>
      <c r="N4" s="24">
        <f t="shared" si="8"/>
        <v>-1.4396476103676892E-2</v>
      </c>
      <c r="O4" s="21">
        <v>412.07900000000001</v>
      </c>
      <c r="P4" s="11">
        <f>O4/O2-1</f>
        <v>0.12220727443056179</v>
      </c>
      <c r="Q4" s="21">
        <f t="shared" si="0"/>
        <v>442.57117851753492</v>
      </c>
      <c r="R4" s="11">
        <f>Q4/Q2-1</f>
        <v>7.3143328478713743E-2</v>
      </c>
      <c r="S4" s="18">
        <f t="shared" si="1"/>
        <v>437143.16877088865</v>
      </c>
      <c r="T4" s="18">
        <f t="shared" si="9"/>
        <v>-448.67514613969252</v>
      </c>
      <c r="U4" s="25">
        <f t="shared" si="10"/>
        <v>7.4188207262545935E-2</v>
      </c>
      <c r="V4" s="22">
        <v>1587.9549999999999</v>
      </c>
      <c r="W4" s="10"/>
      <c r="X4" s="10"/>
      <c r="Y4" s="23">
        <f t="shared" si="2"/>
        <v>3.1827298894293614E-3</v>
      </c>
      <c r="Z4" s="24">
        <f t="shared" si="3"/>
        <v>1.2264715847128346E-2</v>
      </c>
    </row>
    <row r="5" spans="1:26" x14ac:dyDescent="0.25">
      <c r="A5" t="s">
        <v>43</v>
      </c>
      <c r="B5" s="13">
        <f>'green book comparison'!E48</f>
        <v>4209.509</v>
      </c>
      <c r="C5">
        <f>B5-B4</f>
        <v>-844.5228415688016</v>
      </c>
      <c r="D5" s="6">
        <f t="shared" si="11"/>
        <v>-646.94771931470041</v>
      </c>
      <c r="E5" s="4">
        <f>B5/B4-1</f>
        <v>-0.16709883673915604</v>
      </c>
      <c r="F5" s="4">
        <f t="shared" si="4"/>
        <v>-0.13321393697213713</v>
      </c>
      <c r="G5" s="21">
        <f>((108.6/107.5)-1)*100</f>
        <v>1.0232558139534831</v>
      </c>
      <c r="H5" s="19">
        <f t="shared" si="5"/>
        <v>1.0816733067729085</v>
      </c>
      <c r="I5" s="19">
        <f t="shared" si="6"/>
        <v>0.94062976201937099</v>
      </c>
      <c r="J5" s="18">
        <f>B5/I5</f>
        <v>4475.2028587346686</v>
      </c>
      <c r="K5" s="20">
        <f t="shared" si="12"/>
        <v>-952.80688791160992</v>
      </c>
      <c r="L5" s="20">
        <f t="shared" si="13"/>
        <v>-979.07824992103087</v>
      </c>
      <c r="M5" s="11">
        <f t="shared" si="7"/>
        <v>-0.1795063786439752</v>
      </c>
      <c r="N5" s="24">
        <f t="shared" si="8"/>
        <v>-0.17553522052909099</v>
      </c>
      <c r="O5" s="21">
        <v>423.32799999999997</v>
      </c>
      <c r="P5" s="11">
        <f>O5/O2-1</f>
        <v>0.15284147231511636</v>
      </c>
      <c r="Q5" s="21">
        <f t="shared" si="0"/>
        <v>450.04742258121547</v>
      </c>
      <c r="R5" s="11">
        <f>Q5/Q2-1</f>
        <v>9.127166992627922E-2</v>
      </c>
      <c r="S5" s="18">
        <f t="shared" si="1"/>
        <v>445572.2197224808</v>
      </c>
      <c r="T5" s="18">
        <f t="shared" si="9"/>
        <v>8429.0509515921585</v>
      </c>
      <c r="U5" s="25">
        <f t="shared" si="10"/>
        <v>9.4900842795828E-2</v>
      </c>
      <c r="V5" s="22">
        <v>1622.2819999999999</v>
      </c>
      <c r="W5" s="10"/>
      <c r="X5" s="10">
        <v>2.2999999999999998</v>
      </c>
      <c r="Y5" s="23">
        <f t="shared" si="2"/>
        <v>2.5948071913514418E-3</v>
      </c>
      <c r="Z5" s="24">
        <f t="shared" si="3"/>
        <v>9.9438473240607769E-3</v>
      </c>
    </row>
    <row r="6" spans="1:26" x14ac:dyDescent="0.25">
      <c r="A6" t="s">
        <v>42</v>
      </c>
      <c r="B6" s="13">
        <f>'green book comparison'!E49</f>
        <v>4033.53</v>
      </c>
      <c r="C6">
        <f>B6-B5</f>
        <v>-175.97899999999981</v>
      </c>
      <c r="D6" s="6">
        <f t="shared" si="11"/>
        <v>-822.92671931470022</v>
      </c>
      <c r="E6" s="4">
        <f>B6/B5-1</f>
        <v>-4.1805113137898031E-2</v>
      </c>
      <c r="F6" s="4">
        <f t="shared" si="4"/>
        <v>-0.16945002640337012</v>
      </c>
      <c r="G6" s="21">
        <f>((110.7/108.6)-1)*100</f>
        <v>1.9337016574585641</v>
      </c>
      <c r="H6" s="19">
        <f t="shared" si="5"/>
        <v>1.1025896414342631</v>
      </c>
      <c r="I6" s="19">
        <f t="shared" si="6"/>
        <v>0.95881873531808814</v>
      </c>
      <c r="J6" s="18">
        <f>B6/I6</f>
        <v>4206.7701134999998</v>
      </c>
      <c r="K6" s="20">
        <f t="shared" si="12"/>
        <v>-268.4327452346688</v>
      </c>
      <c r="L6" s="20">
        <f t="shared" si="13"/>
        <v>-1247.5109951556997</v>
      </c>
      <c r="M6" s="11">
        <f t="shared" si="7"/>
        <v>-0.22872143373321108</v>
      </c>
      <c r="N6" s="11">
        <f t="shared" si="8"/>
        <v>-5.9982251913059947E-2</v>
      </c>
      <c r="O6" s="26">
        <v>439.375</v>
      </c>
      <c r="P6" s="11">
        <f>O6/O2-1</f>
        <v>0.19654197666692075</v>
      </c>
      <c r="Q6" s="21">
        <f>O6/I6</f>
        <v>458.24615625000001</v>
      </c>
      <c r="R6" s="11">
        <f>Q6/Q2-1</f>
        <v>0.11115189883793519</v>
      </c>
      <c r="S6" s="18">
        <f t="shared" si="1"/>
        <v>454039.38613649999</v>
      </c>
      <c r="T6" s="18">
        <f t="shared" si="9"/>
        <v>8467.166414019186</v>
      </c>
      <c r="U6" s="25">
        <f t="shared" si="10"/>
        <v>0.11570713913220265</v>
      </c>
      <c r="V6" s="22">
        <v>1699.6859999999999</v>
      </c>
      <c r="W6" s="10">
        <v>2.1</v>
      </c>
      <c r="X6" s="10">
        <v>5.9</v>
      </c>
      <c r="Y6" s="23">
        <f t="shared" si="2"/>
        <v>2.3731030319717877E-3</v>
      </c>
      <c r="Z6" s="24">
        <f t="shared" si="3"/>
        <v>9.1801536273115221E-3</v>
      </c>
    </row>
    <row r="7" spans="1:26" x14ac:dyDescent="0.25">
      <c r="A7" t="s">
        <v>41</v>
      </c>
      <c r="B7" s="18">
        <v>4077</v>
      </c>
      <c r="C7">
        <f>B7-B6</f>
        <v>43.4699999999998</v>
      </c>
      <c r="D7" s="6">
        <f t="shared" si="11"/>
        <v>-779.45671931470042</v>
      </c>
      <c r="E7" s="4">
        <f>B7/B6-1</f>
        <v>1.0777160452506873E-2</v>
      </c>
      <c r="F7" s="4">
        <f t="shared" si="4"/>
        <v>-0.16049905607409395</v>
      </c>
      <c r="G7" s="21">
        <v>2</v>
      </c>
      <c r="H7" s="19">
        <f>H6*(1+G7/100)</f>
        <v>1.1246414342629483</v>
      </c>
      <c r="I7" s="19">
        <f t="shared" si="6"/>
        <v>0.97799511002444983</v>
      </c>
      <c r="J7" s="18">
        <f t="shared" ref="J7:J9" si="14">B7/I7</f>
        <v>4168.7325000000001</v>
      </c>
      <c r="K7" s="20">
        <f t="shared" si="12"/>
        <v>-38.037613499999679</v>
      </c>
      <c r="L7" s="20">
        <f t="shared" si="13"/>
        <v>-1285.5486086556994</v>
      </c>
      <c r="M7" s="11">
        <f t="shared" si="7"/>
        <v>-0.23569533418722979</v>
      </c>
      <c r="N7" s="11">
        <f t="shared" si="8"/>
        <v>-9.041999556365754E-3</v>
      </c>
      <c r="O7" s="26">
        <v>459.9</v>
      </c>
      <c r="P7" s="11">
        <f>O7/O2-1</f>
        <v>0.25243733728390749</v>
      </c>
      <c r="Q7" s="21">
        <f t="shared" si="0"/>
        <v>470.24775</v>
      </c>
      <c r="R7" s="11">
        <f>Q7/Q2-1</f>
        <v>0.14025327481787619</v>
      </c>
      <c r="S7" s="18">
        <f t="shared" si="1"/>
        <v>466079.01750000002</v>
      </c>
      <c r="T7" s="18">
        <f t="shared" si="9"/>
        <v>12039.631363500026</v>
      </c>
      <c r="U7" s="25">
        <f t="shared" si="10"/>
        <v>0.14529202334032854</v>
      </c>
      <c r="V7" s="27">
        <f>V6*(1+X7/100)</f>
        <v>1771.9226549999998</v>
      </c>
      <c r="W7" s="10">
        <v>2.75</v>
      </c>
      <c r="X7" s="10">
        <v>4.25</v>
      </c>
      <c r="Y7" s="23">
        <f t="shared" si="2"/>
        <v>2.3008904979546075E-3</v>
      </c>
      <c r="Z7" s="24">
        <f t="shared" si="3"/>
        <v>8.8649706457925633E-3</v>
      </c>
    </row>
    <row r="8" spans="1:26" x14ac:dyDescent="0.25">
      <c r="A8" t="s">
        <v>67</v>
      </c>
      <c r="B8" s="18">
        <v>4161</v>
      </c>
      <c r="C8">
        <f t="shared" ref="C8" si="15">B8-B7</f>
        <v>84</v>
      </c>
      <c r="D8" s="6">
        <f t="shared" si="11"/>
        <v>-695.45671931470042</v>
      </c>
      <c r="E8" s="4">
        <f t="shared" ref="E8" si="16">B8/B7-1</f>
        <v>2.0603384841795469E-2</v>
      </c>
      <c r="F8" s="4">
        <f t="shared" si="4"/>
        <v>-0.14320249505133797</v>
      </c>
      <c r="G8" s="10">
        <v>2.25</v>
      </c>
      <c r="H8" s="19">
        <f t="shared" si="5"/>
        <v>1.1499458665338647</v>
      </c>
      <c r="I8" s="19">
        <v>1</v>
      </c>
      <c r="J8" s="18">
        <f t="shared" si="14"/>
        <v>4161</v>
      </c>
      <c r="K8" s="20">
        <f t="shared" si="12"/>
        <v>-7.7325000000000728</v>
      </c>
      <c r="L8" s="20">
        <f t="shared" si="13"/>
        <v>-1293.2811086556994</v>
      </c>
      <c r="M8" s="11">
        <f t="shared" si="7"/>
        <v>-0.23711302789350558</v>
      </c>
      <c r="N8" s="11">
        <f t="shared" si="8"/>
        <v>-1.8548803503223299E-3</v>
      </c>
      <c r="O8" s="21">
        <v>484.6</v>
      </c>
      <c r="P8" s="11">
        <f>O8/O2-1</f>
        <v>0.31970239975599402</v>
      </c>
      <c r="Q8" s="21">
        <f t="shared" si="0"/>
        <v>484.6</v>
      </c>
      <c r="R8" s="11">
        <f>Q8/Q2-1</f>
        <v>0.17505450473020412</v>
      </c>
      <c r="S8" s="18">
        <f t="shared" si="1"/>
        <v>480439</v>
      </c>
      <c r="T8" s="18">
        <f t="shared" si="9"/>
        <v>14359.982499999984</v>
      </c>
      <c r="U8" s="25">
        <f t="shared" si="10"/>
        <v>0.18057868674940747</v>
      </c>
      <c r="V8" s="22">
        <f>V7*(1+X8/100)</f>
        <v>1838.3697545625</v>
      </c>
      <c r="W8" s="10">
        <v>3</v>
      </c>
      <c r="X8" s="10">
        <v>3.75</v>
      </c>
      <c r="Y8" s="23">
        <f t="shared" si="2"/>
        <v>2.2634184389038999E-3</v>
      </c>
      <c r="Z8" s="24">
        <f t="shared" si="3"/>
        <v>8.5864630623194386E-3</v>
      </c>
    </row>
    <row r="9" spans="1:26" x14ac:dyDescent="0.25">
      <c r="A9" t="s">
        <v>87</v>
      </c>
      <c r="B9" s="18">
        <v>4170</v>
      </c>
      <c r="C9" s="13">
        <f>B9-B8</f>
        <v>9</v>
      </c>
      <c r="D9" s="6">
        <f t="shared" si="11"/>
        <v>-686.45671931470042</v>
      </c>
      <c r="E9" s="4">
        <f>B9/B8-1</f>
        <v>2.1629416005768398E-3</v>
      </c>
      <c r="F9" s="4">
        <f t="shared" si="4"/>
        <v>-0.14134929208461411</v>
      </c>
      <c r="G9" s="10">
        <v>2.5</v>
      </c>
      <c r="H9" s="19">
        <f t="shared" si="5"/>
        <v>1.1786945131972111</v>
      </c>
      <c r="I9" s="19">
        <f t="shared" si="6"/>
        <v>1.0249999999999999</v>
      </c>
      <c r="J9" s="18">
        <f t="shared" si="14"/>
        <v>4068.2926829268295</v>
      </c>
      <c r="K9" s="20">
        <f>J9-J8</f>
        <v>-92.707317073170543</v>
      </c>
      <c r="L9" s="20">
        <f t="shared" ref="L9" si="17">J9-J$2</f>
        <v>-1385.98842572887</v>
      </c>
      <c r="M9" s="11">
        <f t="shared" si="7"/>
        <v>-0.25411019309755939</v>
      </c>
      <c r="N9" s="11">
        <f>J9/J8-1</f>
        <v>-2.228005697504698E-2</v>
      </c>
      <c r="O9" s="21">
        <v>497.5</v>
      </c>
      <c r="P9" s="11">
        <f>O9/O2-1</f>
        <v>0.35483273602684062</v>
      </c>
      <c r="Q9" s="21">
        <f t="shared" si="0"/>
        <v>485.36585365853665</v>
      </c>
      <c r="R9" s="11">
        <f>Q9/Q2-1</f>
        <v>0.17691154103112772</v>
      </c>
      <c r="S9" s="18">
        <f t="shared" si="1"/>
        <v>481297.56097560981</v>
      </c>
      <c r="T9" s="18">
        <f>S9-S8</f>
        <v>858.56097560981289</v>
      </c>
      <c r="U9" s="25">
        <f t="shared" si="10"/>
        <v>0.18268842136520624</v>
      </c>
      <c r="V9" s="22">
        <f>V8*(1+X9/100)</f>
        <v>1925.692317904219</v>
      </c>
      <c r="W9" s="10">
        <v>3</v>
      </c>
      <c r="X9" s="10">
        <v>4.75</v>
      </c>
      <c r="Y9" s="23">
        <f t="shared" si="2"/>
        <v>2.1654549697421649E-3</v>
      </c>
      <c r="Z9" s="24">
        <f t="shared" si="3"/>
        <v>8.3819095477386946E-3</v>
      </c>
    </row>
    <row r="10" spans="1:26" x14ac:dyDescent="0.25">
      <c r="A10" t="s">
        <v>90</v>
      </c>
      <c r="B10" s="18">
        <v>4000</v>
      </c>
      <c r="C10" s="13">
        <f>B10-B9</f>
        <v>-170</v>
      </c>
      <c r="D10" s="6">
        <f t="shared" si="11"/>
        <v>-856.45671931470042</v>
      </c>
      <c r="E10" s="4">
        <f>B10/B9-1</f>
        <v>-4.0767386091127067E-2</v>
      </c>
      <c r="F10" s="4">
        <f t="shared" si="4"/>
        <v>-0.17635423701162026</v>
      </c>
      <c r="G10" s="10">
        <v>2.5</v>
      </c>
      <c r="H10" s="19">
        <f t="shared" si="5"/>
        <v>1.2081618760271413</v>
      </c>
      <c r="I10" s="19">
        <f t="shared" si="6"/>
        <v>1.0506249999999997</v>
      </c>
      <c r="J10" s="18">
        <f t="shared" ref="J10" si="18">B10/I10</f>
        <v>3807.2575847709709</v>
      </c>
      <c r="K10" s="20">
        <f>J10-J9</f>
        <v>-261.03509815585858</v>
      </c>
      <c r="L10" s="20">
        <f t="shared" ref="L10" si="19">J10-J$2</f>
        <v>-1647.0235238847285</v>
      </c>
      <c r="M10" s="11">
        <f t="shared" ref="M10" si="20">L10/J$2</f>
        <v>-0.30196894715803629</v>
      </c>
      <c r="N10" s="11">
        <f>J10/J9-1</f>
        <v>-6.4163303503538383E-2</v>
      </c>
      <c r="O10" s="21">
        <v>514.5</v>
      </c>
      <c r="P10" s="11">
        <f>O10/O$2-1</f>
        <v>0.40112852801167742</v>
      </c>
      <c r="Q10" s="21">
        <f t="shared" si="0"/>
        <v>489.70850684116613</v>
      </c>
      <c r="R10" s="11">
        <f>Q10/Q$2-1</f>
        <v>0.18744157442924925</v>
      </c>
      <c r="S10" s="18">
        <f t="shared" si="1"/>
        <v>485901.24925639515</v>
      </c>
      <c r="T10" s="18">
        <f>S10-S9</f>
        <v>4603.6882807853399</v>
      </c>
      <c r="U10" s="25">
        <f t="shared" ref="U10" si="21">S10/S$2-1</f>
        <v>0.19400102559744625</v>
      </c>
      <c r="V10" s="22">
        <f>V9*(1+X10/100)</f>
        <v>2012.3484722099088</v>
      </c>
      <c r="W10" s="10">
        <v>3</v>
      </c>
      <c r="X10" s="10">
        <v>4.5</v>
      </c>
      <c r="Y10" s="23">
        <f t="shared" si="2"/>
        <v>1.9877273023231924E-3</v>
      </c>
      <c r="Z10" s="24">
        <f t="shared" si="3"/>
        <v>7.7745383867832852E-3</v>
      </c>
    </row>
    <row r="11" spans="1:26" x14ac:dyDescent="0.25">
      <c r="A11" t="s">
        <v>94</v>
      </c>
      <c r="B11" s="18">
        <v>4000</v>
      </c>
      <c r="C11" s="13">
        <f>B11-B10</f>
        <v>0</v>
      </c>
      <c r="D11" s="6">
        <f t="shared" si="11"/>
        <v>-856.45671931470042</v>
      </c>
      <c r="E11" s="4">
        <f>B11/B10-1</f>
        <v>0</v>
      </c>
      <c r="F11" s="4">
        <f>D11/B$2</f>
        <v>-0.17635423701162026</v>
      </c>
      <c r="G11" s="10">
        <v>2.5</v>
      </c>
      <c r="H11" s="19">
        <f t="shared" ref="H11" si="22">H10*(1+G11/100)</f>
        <v>1.2383659229278197</v>
      </c>
      <c r="I11" s="19">
        <f t="shared" si="6"/>
        <v>1.0768906249999997</v>
      </c>
      <c r="J11" s="18">
        <f t="shared" ref="J11" si="23">B11/I11</f>
        <v>3714.3976436789958</v>
      </c>
      <c r="K11" s="20">
        <f>J11-J10</f>
        <v>-92.859941091975088</v>
      </c>
      <c r="L11" s="20">
        <f t="shared" ref="L11" si="24">J11-J$2</f>
        <v>-1739.8834649767036</v>
      </c>
      <c r="M11" s="11">
        <f t="shared" ref="M11" si="25">L11/J$2</f>
        <v>-0.31899409478832813</v>
      </c>
      <c r="N11" s="11">
        <f>J11/J10-1</f>
        <v>-2.4390243902439046E-2</v>
      </c>
      <c r="O11" s="21">
        <v>537.29999999999995</v>
      </c>
      <c r="P11" s="11">
        <f>O11/O$2-1</f>
        <v>0.4632193549089878</v>
      </c>
      <c r="Q11" s="21">
        <f t="shared" si="0"/>
        <v>498.93646348718107</v>
      </c>
      <c r="R11" s="11">
        <f>Q11/Q$2-1</f>
        <v>0.20981745562271792</v>
      </c>
      <c r="S11" s="18">
        <f t="shared" si="1"/>
        <v>495222.06584350206</v>
      </c>
      <c r="T11" s="18">
        <f>S11-S10</f>
        <v>9320.8165871069068</v>
      </c>
      <c r="U11" s="25">
        <f t="shared" ref="U11" si="26">S11/S$2-1</f>
        <v>0.21690498927616253</v>
      </c>
      <c r="V11" s="22">
        <f>V10*(1+X11/100)</f>
        <v>2102.9041534593543</v>
      </c>
      <c r="W11" s="10">
        <v>3</v>
      </c>
      <c r="X11" s="10">
        <v>4.5</v>
      </c>
      <c r="Y11" s="23">
        <f t="shared" si="2"/>
        <v>1.9021313897829596E-3</v>
      </c>
      <c r="Z11" s="24">
        <f t="shared" si="3"/>
        <v>7.4446305602084506E-3</v>
      </c>
    </row>
    <row r="12" spans="1:26" x14ac:dyDescent="0.25">
      <c r="G12" s="28">
        <f>H8</f>
        <v>1.1499458665338647</v>
      </c>
      <c r="H12" s="7" t="s">
        <v>93</v>
      </c>
    </row>
    <row r="13" spans="1:26" x14ac:dyDescent="0.25">
      <c r="J13" s="4"/>
    </row>
    <row r="14" spans="1:26" x14ac:dyDescent="0.25">
      <c r="C14" s="29"/>
    </row>
    <row r="15" spans="1:26" x14ac:dyDescent="0.25">
      <c r="C15" s="29"/>
    </row>
    <row r="17" spans="1:1" x14ac:dyDescent="0.25">
      <c r="A17" s="7" t="s">
        <v>52</v>
      </c>
    </row>
    <row r="19" spans="1:1" x14ac:dyDescent="0.25">
      <c r="A19" s="16" t="s">
        <v>85</v>
      </c>
    </row>
    <row r="20" spans="1:1" x14ac:dyDescent="0.25">
      <c r="A20" s="17" t="s">
        <v>96</v>
      </c>
    </row>
    <row r="21" spans="1:1" x14ac:dyDescent="0.25">
      <c r="A21" s="17" t="s">
        <v>108</v>
      </c>
    </row>
    <row r="22" spans="1:1" x14ac:dyDescent="0.25">
      <c r="A22" t="s">
        <v>97</v>
      </c>
    </row>
    <row r="23" spans="1:1" x14ac:dyDescent="0.25">
      <c r="A23" s="3"/>
    </row>
    <row r="24" spans="1:1" x14ac:dyDescent="0.25">
      <c r="A24" s="3"/>
    </row>
    <row r="25" spans="1:1" x14ac:dyDescent="0.25">
      <c r="A25" s="16" t="s">
        <v>89</v>
      </c>
    </row>
    <row r="26" spans="1:1" x14ac:dyDescent="0.25">
      <c r="A26" s="10" t="s">
        <v>109</v>
      </c>
    </row>
    <row r="27" spans="1:1" x14ac:dyDescent="0.25">
      <c r="A27" s="10" t="s">
        <v>110</v>
      </c>
    </row>
    <row r="28" spans="1:1" x14ac:dyDescent="0.25">
      <c r="A28" s="3"/>
    </row>
    <row r="29" spans="1:1" x14ac:dyDescent="0.25">
      <c r="A29" s="16" t="s">
        <v>86</v>
      </c>
    </row>
    <row r="30" spans="1:1" x14ac:dyDescent="0.25">
      <c r="A30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selection activeCell="I4" sqref="I4"/>
    </sheetView>
  </sheetViews>
  <sheetFormatPr defaultRowHeight="15" x14ac:dyDescent="0.25"/>
  <cols>
    <col min="1" max="1" width="16.5703125" customWidth="1"/>
    <col min="2" max="2" width="16" bestFit="1" customWidth="1"/>
    <col min="3" max="3" width="3.7109375" customWidth="1"/>
    <col min="4" max="4" width="11.85546875" style="30" customWidth="1"/>
    <col min="5" max="5" width="12.140625" customWidth="1"/>
    <col min="6" max="6" width="3.7109375" customWidth="1"/>
    <col min="7" max="7" width="17" customWidth="1"/>
    <col min="8" max="8" width="3" customWidth="1"/>
    <col min="9" max="9" width="18.7109375" bestFit="1" customWidth="1"/>
    <col min="10" max="10" width="4.28515625" customWidth="1"/>
    <col min="11" max="11" width="15.7109375" customWidth="1"/>
    <col min="12" max="12" width="32.7109375" bestFit="1" customWidth="1"/>
  </cols>
  <sheetData>
    <row r="1" spans="1:11" x14ac:dyDescent="0.25">
      <c r="A1" s="40" t="s">
        <v>100</v>
      </c>
      <c r="B1" s="40"/>
      <c r="C1" s="40"/>
      <c r="D1" s="41"/>
      <c r="E1" s="40"/>
    </row>
    <row r="3" spans="1:11" x14ac:dyDescent="0.25">
      <c r="B3" t="s">
        <v>113</v>
      </c>
      <c r="D3" t="s">
        <v>106</v>
      </c>
      <c r="I3" t="s">
        <v>113</v>
      </c>
    </row>
    <row r="4" spans="1:11" x14ac:dyDescent="0.25">
      <c r="B4" t="s">
        <v>111</v>
      </c>
      <c r="D4" t="s">
        <v>107</v>
      </c>
      <c r="I4" t="s">
        <v>112</v>
      </c>
    </row>
    <row r="5" spans="1:11" ht="30" x14ac:dyDescent="0.25">
      <c r="B5" s="43" t="s">
        <v>102</v>
      </c>
      <c r="C5" s="38"/>
      <c r="D5" s="45" t="s">
        <v>101</v>
      </c>
      <c r="E5" s="45"/>
      <c r="F5" s="38"/>
      <c r="G5" s="42" t="s">
        <v>103</v>
      </c>
      <c r="I5" s="44" t="s">
        <v>104</v>
      </c>
      <c r="J5" s="7"/>
      <c r="K5" s="42" t="s">
        <v>105</v>
      </c>
    </row>
    <row r="6" spans="1:11" x14ac:dyDescent="0.25">
      <c r="B6" s="38" t="s">
        <v>98</v>
      </c>
      <c r="C6" s="38"/>
      <c r="D6" s="39" t="s">
        <v>99</v>
      </c>
      <c r="E6" s="39" t="s">
        <v>98</v>
      </c>
      <c r="F6" s="38"/>
      <c r="G6" s="39" t="s">
        <v>98</v>
      </c>
      <c r="I6" s="39" t="s">
        <v>99</v>
      </c>
      <c r="J6" s="38"/>
      <c r="K6" s="39" t="s">
        <v>98</v>
      </c>
    </row>
    <row r="7" spans="1:11" x14ac:dyDescent="0.25">
      <c r="A7" t="s">
        <v>6</v>
      </c>
      <c r="B7" s="14">
        <v>279.54000000000002</v>
      </c>
      <c r="C7" s="14"/>
      <c r="D7" s="31">
        <v>279540</v>
      </c>
      <c r="E7" s="29">
        <f>D7/1000</f>
        <v>279.54000000000002</v>
      </c>
      <c r="F7" s="29"/>
      <c r="G7" s="29">
        <f>E7-B7</f>
        <v>0</v>
      </c>
      <c r="I7" s="36">
        <v>279540</v>
      </c>
      <c r="J7" s="36"/>
      <c r="K7" s="34">
        <f>(D7-I7)/1000</f>
        <v>0</v>
      </c>
    </row>
    <row r="8" spans="1:11" x14ac:dyDescent="0.25">
      <c r="A8" t="s">
        <v>7</v>
      </c>
      <c r="B8" s="14">
        <v>305.113</v>
      </c>
      <c r="C8" s="14"/>
      <c r="D8" s="31">
        <v>305113</v>
      </c>
      <c r="E8" s="29">
        <f t="shared" ref="E8:E49" si="0">D8/1000</f>
        <v>305.113</v>
      </c>
      <c r="F8" s="29"/>
      <c r="G8" s="29">
        <f t="shared" ref="G8:G49" si="1">E8-B8</f>
        <v>0</v>
      </c>
      <c r="I8" s="36">
        <v>305113</v>
      </c>
      <c r="J8" s="36"/>
      <c r="K8" s="34">
        <f t="shared" ref="K8:K48" si="2">(D8-I8)/1000</f>
        <v>0</v>
      </c>
    </row>
    <row r="9" spans="1:11" x14ac:dyDescent="0.25">
      <c r="A9" t="s">
        <v>8</v>
      </c>
      <c r="B9" s="14">
        <v>321.05700000000002</v>
      </c>
      <c r="C9" s="14"/>
      <c r="D9" s="31">
        <v>321057</v>
      </c>
      <c r="E9" s="29">
        <f t="shared" si="0"/>
        <v>321.05700000000002</v>
      </c>
      <c r="F9" s="29"/>
      <c r="G9" s="29">
        <f t="shared" si="1"/>
        <v>0</v>
      </c>
      <c r="I9" s="36">
        <v>321057</v>
      </c>
      <c r="J9" s="36"/>
      <c r="K9" s="34">
        <f t="shared" si="2"/>
        <v>0</v>
      </c>
    </row>
    <row r="10" spans="1:11" x14ac:dyDescent="0.25">
      <c r="A10" t="s">
        <v>9</v>
      </c>
      <c r="B10" s="14">
        <v>339.40499999999997</v>
      </c>
      <c r="C10" s="14"/>
      <c r="D10" s="31">
        <v>339405</v>
      </c>
      <c r="E10" s="29">
        <f t="shared" si="0"/>
        <v>339.40499999999997</v>
      </c>
      <c r="F10" s="29"/>
      <c r="G10" s="29">
        <f t="shared" si="1"/>
        <v>0</v>
      </c>
      <c r="I10" s="36">
        <v>339405</v>
      </c>
      <c r="J10" s="36"/>
      <c r="K10" s="34">
        <f t="shared" si="2"/>
        <v>0</v>
      </c>
    </row>
    <row r="11" spans="1:11" x14ac:dyDescent="0.25">
      <c r="A11" t="s">
        <v>10</v>
      </c>
      <c r="B11" s="14">
        <v>391.56599999999997</v>
      </c>
      <c r="C11" s="14"/>
      <c r="D11" s="31">
        <v>391566</v>
      </c>
      <c r="E11" s="29">
        <f t="shared" si="0"/>
        <v>391.56599999999997</v>
      </c>
      <c r="F11" s="29"/>
      <c r="G11" s="29">
        <f t="shared" si="1"/>
        <v>0</v>
      </c>
      <c r="I11" s="36">
        <v>391566</v>
      </c>
      <c r="J11" s="36"/>
      <c r="K11" s="34">
        <f t="shared" si="2"/>
        <v>0</v>
      </c>
    </row>
    <row r="12" spans="1:11" x14ac:dyDescent="0.25">
      <c r="A12" t="s">
        <v>11</v>
      </c>
      <c r="B12" s="14">
        <v>410.75400000000002</v>
      </c>
      <c r="C12" s="14"/>
      <c r="D12" s="31">
        <v>410754</v>
      </c>
      <c r="E12" s="29">
        <f t="shared" si="0"/>
        <v>410.75400000000002</v>
      </c>
      <c r="F12" s="29"/>
      <c r="G12" s="29">
        <f t="shared" si="1"/>
        <v>0</v>
      </c>
      <c r="I12" s="36">
        <v>410754</v>
      </c>
      <c r="J12" s="36"/>
      <c r="K12" s="34">
        <f t="shared" si="2"/>
        <v>0</v>
      </c>
    </row>
    <row r="13" spans="1:11" x14ac:dyDescent="0.25">
      <c r="A13" t="s">
        <v>12</v>
      </c>
      <c r="B13" s="14">
        <v>442.702</v>
      </c>
      <c r="C13" s="14"/>
      <c r="D13" s="31">
        <v>442704</v>
      </c>
      <c r="E13" s="29">
        <f t="shared" si="0"/>
        <v>442.70400000000001</v>
      </c>
      <c r="F13" s="29"/>
      <c r="G13" s="29">
        <f t="shared" si="1"/>
        <v>2.0000000000095497E-3</v>
      </c>
      <c r="I13" s="36">
        <v>442704</v>
      </c>
      <c r="J13" s="36"/>
      <c r="K13" s="34">
        <f t="shared" si="2"/>
        <v>0</v>
      </c>
    </row>
    <row r="14" spans="1:11" x14ac:dyDescent="0.25">
      <c r="A14" t="s">
        <v>13</v>
      </c>
      <c r="B14" s="14">
        <v>499.19099999999997</v>
      </c>
      <c r="C14" s="14"/>
      <c r="D14" s="31">
        <v>499191</v>
      </c>
      <c r="E14" s="29">
        <f t="shared" si="0"/>
        <v>499.19099999999997</v>
      </c>
      <c r="F14" s="29"/>
      <c r="G14" s="29">
        <f t="shared" si="1"/>
        <v>0</v>
      </c>
      <c r="I14" s="36">
        <v>499191</v>
      </c>
      <c r="J14" s="36"/>
      <c r="K14" s="34">
        <f t="shared" si="2"/>
        <v>0</v>
      </c>
    </row>
    <row r="15" spans="1:11" x14ac:dyDescent="0.25">
      <c r="A15" t="s">
        <v>14</v>
      </c>
      <c r="B15" s="14">
        <v>546.86800000000005</v>
      </c>
      <c r="C15" s="14"/>
      <c r="D15" s="31">
        <v>546868</v>
      </c>
      <c r="E15" s="29">
        <f t="shared" si="0"/>
        <v>546.86800000000005</v>
      </c>
      <c r="F15" s="29"/>
      <c r="G15" s="29">
        <f t="shared" si="1"/>
        <v>0</v>
      </c>
      <c r="I15" s="36">
        <v>546868</v>
      </c>
      <c r="J15" s="36"/>
      <c r="K15" s="34">
        <f t="shared" si="2"/>
        <v>0</v>
      </c>
    </row>
    <row r="16" spans="1:11" x14ac:dyDescent="0.25">
      <c r="A16" t="s">
        <v>15</v>
      </c>
      <c r="B16" s="14">
        <v>931.8</v>
      </c>
      <c r="C16" s="14"/>
      <c r="D16" s="31">
        <v>833168</v>
      </c>
      <c r="E16" s="29">
        <f t="shared" si="0"/>
        <v>833.16800000000001</v>
      </c>
      <c r="F16" s="29"/>
      <c r="G16" s="29">
        <f t="shared" si="1"/>
        <v>-98.631999999999948</v>
      </c>
      <c r="I16" s="36">
        <v>833168</v>
      </c>
      <c r="J16" s="36"/>
      <c r="K16" s="34">
        <f t="shared" si="2"/>
        <v>0</v>
      </c>
    </row>
    <row r="17" spans="1:11" x14ac:dyDescent="0.25">
      <c r="A17" t="s">
        <v>16</v>
      </c>
      <c r="B17" s="14">
        <v>1011.4</v>
      </c>
      <c r="C17" s="14"/>
      <c r="D17" s="31">
        <v>1011403</v>
      </c>
      <c r="E17" s="29">
        <f t="shared" si="0"/>
        <v>1011.403</v>
      </c>
      <c r="F17" s="29"/>
      <c r="G17" s="29">
        <f t="shared" si="1"/>
        <v>3.0000000000427463E-3</v>
      </c>
      <c r="I17" s="36">
        <v>1011403</v>
      </c>
      <c r="J17" s="36"/>
      <c r="K17" s="34">
        <f t="shared" si="2"/>
        <v>0</v>
      </c>
    </row>
    <row r="18" spans="1:11" x14ac:dyDescent="0.25">
      <c r="A18" t="s">
        <v>17</v>
      </c>
      <c r="B18" s="14">
        <v>1031</v>
      </c>
      <c r="C18" s="14"/>
      <c r="D18" s="31">
        <v>1030964</v>
      </c>
      <c r="E18" s="29">
        <f t="shared" si="0"/>
        <v>1030.9639999999999</v>
      </c>
      <c r="F18" s="29"/>
      <c r="G18" s="29">
        <f t="shared" si="1"/>
        <v>-3.6000000000058208E-2</v>
      </c>
      <c r="I18" s="36">
        <v>1030964</v>
      </c>
      <c r="J18" s="36"/>
      <c r="K18" s="34">
        <f t="shared" si="2"/>
        <v>0</v>
      </c>
    </row>
    <row r="19" spans="1:11" x14ac:dyDescent="0.25">
      <c r="A19" t="s">
        <v>18</v>
      </c>
      <c r="B19" s="14">
        <v>975.6</v>
      </c>
      <c r="C19" s="14"/>
      <c r="D19" s="31">
        <v>975616</v>
      </c>
      <c r="E19" s="29">
        <f t="shared" si="0"/>
        <v>975.61599999999999</v>
      </c>
      <c r="F19" s="29"/>
      <c r="G19" s="29">
        <f t="shared" si="1"/>
        <v>1.5999999999962711E-2</v>
      </c>
      <c r="I19" s="36">
        <v>975616</v>
      </c>
      <c r="J19" s="36"/>
      <c r="K19" s="34">
        <f t="shared" si="2"/>
        <v>0</v>
      </c>
    </row>
    <row r="20" spans="1:11" x14ac:dyDescent="0.25">
      <c r="A20" t="s">
        <v>19</v>
      </c>
      <c r="B20" s="14">
        <v>1019.6</v>
      </c>
      <c r="C20" s="14"/>
      <c r="D20" s="31">
        <v>1019561</v>
      </c>
      <c r="E20" s="29">
        <f t="shared" si="0"/>
        <v>1019.561</v>
      </c>
      <c r="F20" s="29"/>
      <c r="G20" s="29">
        <f t="shared" si="1"/>
        <v>-3.8999999999987267E-2</v>
      </c>
      <c r="I20" s="36">
        <v>1019561</v>
      </c>
      <c r="J20" s="36"/>
      <c r="K20" s="34">
        <f t="shared" si="2"/>
        <v>0</v>
      </c>
    </row>
    <row r="21" spans="1:11" x14ac:dyDescent="0.25">
      <c r="A21" t="s">
        <v>20</v>
      </c>
      <c r="B21" s="14">
        <v>1194.5999999999999</v>
      </c>
      <c r="C21" s="14"/>
      <c r="D21" s="31">
        <v>1194629</v>
      </c>
      <c r="E21" s="29">
        <f t="shared" si="0"/>
        <v>1194.6289999999999</v>
      </c>
      <c r="F21" s="29"/>
      <c r="G21" s="29">
        <f t="shared" si="1"/>
        <v>2.8999999999996362E-2</v>
      </c>
      <c r="I21" s="36">
        <v>1194629</v>
      </c>
      <c r="J21" s="36"/>
      <c r="K21" s="34">
        <f t="shared" si="2"/>
        <v>0</v>
      </c>
    </row>
    <row r="22" spans="1:11" x14ac:dyDescent="0.25">
      <c r="A22" t="s">
        <v>21</v>
      </c>
      <c r="B22" s="14">
        <v>1173.8</v>
      </c>
      <c r="C22" s="14"/>
      <c r="D22" s="31">
        <v>1173802</v>
      </c>
      <c r="E22" s="29">
        <f t="shared" si="0"/>
        <v>1173.8019999999999</v>
      </c>
      <c r="F22" s="29"/>
      <c r="G22" s="29">
        <f t="shared" si="1"/>
        <v>1.9999999999527063E-3</v>
      </c>
      <c r="I22" s="36">
        <v>1173802</v>
      </c>
      <c r="J22" s="36"/>
      <c r="K22" s="34">
        <f t="shared" si="2"/>
        <v>0</v>
      </c>
    </row>
    <row r="23" spans="1:11" x14ac:dyDescent="0.25">
      <c r="A23" t="s">
        <v>22</v>
      </c>
      <c r="B23" s="14">
        <v>1261</v>
      </c>
      <c r="C23" s="14"/>
      <c r="D23" s="31">
        <v>1261040</v>
      </c>
      <c r="E23" s="29">
        <f t="shared" si="0"/>
        <v>1261.04</v>
      </c>
      <c r="F23" s="29"/>
      <c r="G23" s="29">
        <f t="shared" si="1"/>
        <v>3.999999999996362E-2</v>
      </c>
      <c r="I23" s="36">
        <v>1261040</v>
      </c>
      <c r="J23" s="36"/>
      <c r="K23" s="34">
        <f t="shared" si="2"/>
        <v>0</v>
      </c>
    </row>
    <row r="24" spans="1:11" x14ac:dyDescent="0.25">
      <c r="A24" t="s">
        <v>23</v>
      </c>
      <c r="B24" s="14">
        <v>1330.3</v>
      </c>
      <c r="C24" s="14"/>
      <c r="D24" s="31">
        <v>1330263</v>
      </c>
      <c r="E24" s="29">
        <f t="shared" si="0"/>
        <v>1330.2629999999999</v>
      </c>
      <c r="F24" s="29"/>
      <c r="G24" s="29">
        <f t="shared" si="1"/>
        <v>-3.7000000000034561E-2</v>
      </c>
      <c r="I24" s="36">
        <v>1330263</v>
      </c>
      <c r="J24" s="36"/>
      <c r="K24" s="34">
        <f t="shared" si="2"/>
        <v>0</v>
      </c>
    </row>
    <row r="25" spans="1:11" x14ac:dyDescent="0.25">
      <c r="A25" t="s">
        <v>24</v>
      </c>
      <c r="B25" s="14">
        <v>1386.1</v>
      </c>
      <c r="C25" s="14"/>
      <c r="D25" s="31">
        <v>1386145</v>
      </c>
      <c r="E25" s="29">
        <f t="shared" si="0"/>
        <v>1386.145</v>
      </c>
      <c r="F25" s="29"/>
      <c r="G25" s="29">
        <f t="shared" si="1"/>
        <v>4.500000000007276E-2</v>
      </c>
      <c r="I25" s="36">
        <v>1386145</v>
      </c>
      <c r="J25" s="36"/>
      <c r="K25" s="34">
        <f t="shared" si="2"/>
        <v>0</v>
      </c>
    </row>
    <row r="26" spans="1:11" x14ac:dyDescent="0.25">
      <c r="A26" t="s">
        <v>25</v>
      </c>
      <c r="B26" s="14">
        <v>1410.8</v>
      </c>
      <c r="C26" s="14"/>
      <c r="D26" s="31">
        <v>1410815</v>
      </c>
      <c r="E26" s="29">
        <f t="shared" si="0"/>
        <v>1410.8150000000001</v>
      </c>
      <c r="F26" s="29"/>
      <c r="G26" s="29">
        <f t="shared" si="1"/>
        <v>1.5000000000100044E-2</v>
      </c>
      <c r="I26" s="36">
        <v>1410815</v>
      </c>
      <c r="J26" s="36"/>
      <c r="K26" s="34">
        <f t="shared" si="2"/>
        <v>0</v>
      </c>
    </row>
    <row r="27" spans="1:11" x14ac:dyDescent="0.25">
      <c r="A27" t="s">
        <v>26</v>
      </c>
      <c r="B27" s="14">
        <v>1483.7</v>
      </c>
      <c r="C27" s="14"/>
      <c r="D27" s="31">
        <v>1484980</v>
      </c>
      <c r="E27" s="29">
        <f t="shared" si="0"/>
        <v>1484.98</v>
      </c>
      <c r="F27" s="29"/>
      <c r="G27" s="29">
        <f t="shared" si="1"/>
        <v>1.2799999999999727</v>
      </c>
      <c r="I27" s="36">
        <v>1484980</v>
      </c>
      <c r="J27" s="36"/>
      <c r="K27" s="34">
        <f t="shared" si="2"/>
        <v>0</v>
      </c>
    </row>
    <row r="28" spans="1:11" x14ac:dyDescent="0.25">
      <c r="A28" t="s">
        <v>27</v>
      </c>
      <c r="B28" s="14">
        <v>1556.5</v>
      </c>
      <c r="C28" s="14"/>
      <c r="D28" s="31">
        <v>1567170</v>
      </c>
      <c r="E28" s="29">
        <f t="shared" si="0"/>
        <v>1567.17</v>
      </c>
      <c r="F28" s="29"/>
      <c r="G28" s="29">
        <f t="shared" si="1"/>
        <v>10.670000000000073</v>
      </c>
      <c r="I28" s="36">
        <v>1567170</v>
      </c>
      <c r="J28" s="36"/>
      <c r="K28" s="34">
        <f t="shared" si="2"/>
        <v>0</v>
      </c>
    </row>
    <row r="29" spans="1:11" x14ac:dyDescent="0.25">
      <c r="A29" t="s">
        <v>28</v>
      </c>
      <c r="B29" s="14">
        <v>1432</v>
      </c>
      <c r="C29" s="14"/>
      <c r="D29" s="31">
        <v>1432351</v>
      </c>
      <c r="E29" s="29">
        <f t="shared" si="0"/>
        <v>1432.3510000000001</v>
      </c>
      <c r="F29" s="29"/>
      <c r="G29" s="29">
        <f t="shared" si="1"/>
        <v>0.35100000000011278</v>
      </c>
      <c r="I29" s="36">
        <v>1432351</v>
      </c>
      <c r="J29" s="36"/>
      <c r="K29" s="34">
        <f t="shared" si="2"/>
        <v>0</v>
      </c>
    </row>
    <row r="30" spans="1:11" x14ac:dyDescent="0.25">
      <c r="A30" t="s">
        <v>29</v>
      </c>
      <c r="B30" s="14">
        <v>1443</v>
      </c>
      <c r="C30" s="14"/>
      <c r="D30" s="31">
        <v>1443300</v>
      </c>
      <c r="E30" s="29">
        <f t="shared" si="0"/>
        <v>1443.3</v>
      </c>
      <c r="F30" s="29"/>
      <c r="G30" s="29">
        <f t="shared" si="1"/>
        <v>0.29999999999995453</v>
      </c>
      <c r="I30" s="36">
        <v>1443300</v>
      </c>
      <c r="J30" s="36"/>
      <c r="K30" s="34">
        <f t="shared" si="2"/>
        <v>0</v>
      </c>
    </row>
    <row r="31" spans="1:11" x14ac:dyDescent="0.25">
      <c r="A31" t="s">
        <v>30</v>
      </c>
      <c r="B31" s="14">
        <v>1528.6</v>
      </c>
      <c r="C31" s="14"/>
      <c r="D31" s="31">
        <v>1531300</v>
      </c>
      <c r="E31" s="29">
        <f t="shared" si="0"/>
        <v>1531.3</v>
      </c>
      <c r="F31" s="29"/>
      <c r="G31" s="29">
        <f t="shared" si="1"/>
        <v>2.7000000000000455</v>
      </c>
      <c r="I31" s="36">
        <v>1531300</v>
      </c>
      <c r="J31" s="36"/>
      <c r="K31" s="34">
        <f t="shared" si="2"/>
        <v>0</v>
      </c>
    </row>
    <row r="32" spans="1:11" x14ac:dyDescent="0.25">
      <c r="A32" t="s">
        <v>62</v>
      </c>
      <c r="B32" s="14">
        <v>1748.7</v>
      </c>
      <c r="C32" s="14"/>
      <c r="D32" s="31">
        <v>1752343</v>
      </c>
      <c r="E32" s="29">
        <f t="shared" si="0"/>
        <v>1752.3430000000001</v>
      </c>
      <c r="F32" s="29"/>
      <c r="G32" s="29">
        <f t="shared" si="1"/>
        <v>3.6430000000000291</v>
      </c>
      <c r="I32" s="36">
        <v>1752343</v>
      </c>
      <c r="J32" s="36"/>
      <c r="K32" s="34">
        <f t="shared" si="2"/>
        <v>0</v>
      </c>
    </row>
    <row r="33" spans="1:11" x14ac:dyDescent="0.25">
      <c r="A33" t="s">
        <v>32</v>
      </c>
      <c r="B33" s="14">
        <v>1623.1</v>
      </c>
      <c r="C33" s="14"/>
      <c r="D33" s="31">
        <v>1638895</v>
      </c>
      <c r="E33" s="29">
        <f t="shared" si="0"/>
        <v>1638.895</v>
      </c>
      <c r="F33" s="29"/>
      <c r="G33" s="29">
        <f t="shared" si="1"/>
        <v>15.795000000000073</v>
      </c>
      <c r="I33" s="36">
        <v>1638895</v>
      </c>
      <c r="J33" s="36"/>
      <c r="K33" s="34">
        <f t="shared" si="2"/>
        <v>0</v>
      </c>
    </row>
    <row r="34" spans="1:11" x14ac:dyDescent="0.25">
      <c r="A34" t="s">
        <v>33</v>
      </c>
      <c r="B34" s="14">
        <v>1755.1</v>
      </c>
      <c r="C34" s="14"/>
      <c r="D34" s="31">
        <v>1765815</v>
      </c>
      <c r="E34" s="29">
        <f t="shared" si="0"/>
        <v>1765.8150000000001</v>
      </c>
      <c r="F34" s="29"/>
      <c r="G34" s="29">
        <f t="shared" si="1"/>
        <v>10.715000000000146</v>
      </c>
      <c r="I34" s="36">
        <v>1765815</v>
      </c>
      <c r="J34" s="36"/>
      <c r="K34" s="34">
        <f t="shared" si="2"/>
        <v>0</v>
      </c>
    </row>
    <row r="35" spans="1:11" x14ac:dyDescent="0.25">
      <c r="A35" t="s">
        <v>34</v>
      </c>
      <c r="B35" s="14">
        <v>1830.8</v>
      </c>
      <c r="C35" s="14"/>
      <c r="D35" s="31">
        <v>1840697</v>
      </c>
      <c r="E35" s="29">
        <f t="shared" si="0"/>
        <v>1840.6969999999999</v>
      </c>
      <c r="F35" s="29"/>
      <c r="G35" s="29">
        <f t="shared" si="1"/>
        <v>9.8969999999999345</v>
      </c>
      <c r="I35" s="36">
        <v>1840697</v>
      </c>
      <c r="J35" s="36"/>
      <c r="K35" s="34">
        <f t="shared" si="2"/>
        <v>0</v>
      </c>
    </row>
    <row r="36" spans="1:11" x14ac:dyDescent="0.25">
      <c r="A36" t="s">
        <v>35</v>
      </c>
      <c r="B36" s="14">
        <v>1973.1</v>
      </c>
      <c r="C36" s="14"/>
      <c r="D36" s="31">
        <v>1986447</v>
      </c>
      <c r="E36" s="29">
        <f t="shared" si="0"/>
        <v>1986.4469999999999</v>
      </c>
      <c r="F36" s="29"/>
      <c r="G36" s="29">
        <f t="shared" si="1"/>
        <v>13.34699999999998</v>
      </c>
      <c r="I36" s="36">
        <v>1986447</v>
      </c>
      <c r="J36" s="36"/>
      <c r="K36" s="34">
        <f t="shared" si="2"/>
        <v>0</v>
      </c>
    </row>
    <row r="37" spans="1:11" x14ac:dyDescent="0.25">
      <c r="A37" t="s">
        <v>36</v>
      </c>
      <c r="B37" s="14">
        <v>2198.1</v>
      </c>
      <c r="C37" s="14"/>
      <c r="D37" s="31">
        <v>2211078</v>
      </c>
      <c r="E37" s="29">
        <f t="shared" si="0"/>
        <v>2211.078</v>
      </c>
      <c r="F37" s="29"/>
      <c r="G37" s="29">
        <f t="shared" si="1"/>
        <v>12.978000000000065</v>
      </c>
      <c r="I37" s="36">
        <v>2211078</v>
      </c>
      <c r="J37" s="36"/>
      <c r="K37" s="34">
        <f t="shared" si="2"/>
        <v>0</v>
      </c>
    </row>
    <row r="38" spans="1:11" x14ac:dyDescent="0.25">
      <c r="A38" t="s">
        <v>40</v>
      </c>
      <c r="B38" s="14">
        <v>2683.5008565621001</v>
      </c>
      <c r="C38" s="14"/>
      <c r="D38" s="31">
        <v>2619035.6794696003</v>
      </c>
      <c r="E38" s="29">
        <f t="shared" si="0"/>
        <v>2619.0356794696004</v>
      </c>
      <c r="F38" s="29"/>
      <c r="G38" s="29">
        <f t="shared" si="1"/>
        <v>-64.465177092499744</v>
      </c>
      <c r="I38" s="36">
        <v>2619035.6794696003</v>
      </c>
      <c r="J38" s="36"/>
      <c r="K38" s="34">
        <f t="shared" si="2"/>
        <v>0</v>
      </c>
    </row>
    <row r="39" spans="1:11" x14ac:dyDescent="0.25">
      <c r="A39" t="s">
        <v>37</v>
      </c>
      <c r="B39" s="14">
        <v>2977.9141820124996</v>
      </c>
      <c r="C39" s="14"/>
      <c r="D39" s="31">
        <v>2879570.7135016001</v>
      </c>
      <c r="E39" s="29">
        <f t="shared" si="0"/>
        <v>2879.5707135016</v>
      </c>
      <c r="F39" s="29"/>
      <c r="G39" s="29">
        <f t="shared" si="1"/>
        <v>-98.343468510899584</v>
      </c>
      <c r="I39" s="36">
        <v>2879570.7135016001</v>
      </c>
      <c r="J39" s="36"/>
      <c r="K39" s="34">
        <f t="shared" si="2"/>
        <v>0</v>
      </c>
    </row>
    <row r="40" spans="1:11" x14ac:dyDescent="0.25">
      <c r="A40" t="s">
        <v>38</v>
      </c>
      <c r="B40" s="14">
        <v>3115.0166879971998</v>
      </c>
      <c r="C40" s="14"/>
      <c r="D40" s="31">
        <v>3047113.5083008995</v>
      </c>
      <c r="E40" s="29">
        <f t="shared" si="0"/>
        <v>3047.1135083008994</v>
      </c>
      <c r="F40" s="29"/>
      <c r="G40" s="29">
        <f t="shared" si="1"/>
        <v>-67.903179696300413</v>
      </c>
      <c r="I40" s="36">
        <v>3047113.5083008995</v>
      </c>
      <c r="J40" s="36"/>
      <c r="K40" s="34">
        <f t="shared" si="2"/>
        <v>0</v>
      </c>
    </row>
    <row r="41" spans="1:11" x14ac:dyDescent="0.25">
      <c r="A41" t="s">
        <v>39</v>
      </c>
      <c r="B41" s="14">
        <v>3737.3768989748</v>
      </c>
      <c r="C41" s="14"/>
      <c r="D41" s="31">
        <v>3709185.6654379</v>
      </c>
      <c r="E41" s="29">
        <f t="shared" si="0"/>
        <v>3709.1856654378998</v>
      </c>
      <c r="F41" s="29"/>
      <c r="G41" s="29">
        <f t="shared" si="1"/>
        <v>-28.191233536900199</v>
      </c>
      <c r="I41" s="36">
        <v>3709185.6654379</v>
      </c>
      <c r="J41" s="36"/>
      <c r="K41" s="34">
        <f t="shared" si="2"/>
        <v>0</v>
      </c>
    </row>
    <row r="42" spans="1:11" x14ac:dyDescent="0.25">
      <c r="A42" t="s">
        <v>1</v>
      </c>
      <c r="B42" s="14">
        <v>3877.7029709799999</v>
      </c>
      <c r="C42" s="14"/>
      <c r="D42" s="31">
        <v>3813224.4176155003</v>
      </c>
      <c r="E42" s="29">
        <f t="shared" si="0"/>
        <v>3813.2244176155004</v>
      </c>
      <c r="F42" s="29"/>
      <c r="G42" s="29">
        <f t="shared" si="1"/>
        <v>-64.478553364499476</v>
      </c>
      <c r="I42" s="36">
        <v>3813224.4176155003</v>
      </c>
      <c r="J42" s="36"/>
      <c r="K42" s="34">
        <f t="shared" si="2"/>
        <v>0</v>
      </c>
    </row>
    <row r="43" spans="1:11" x14ac:dyDescent="0.25">
      <c r="A43" t="s">
        <v>2</v>
      </c>
      <c r="B43" s="14">
        <v>4303.1378796107001</v>
      </c>
      <c r="C43" s="14"/>
      <c r="D43" s="31">
        <v>4259638.4054260999</v>
      </c>
      <c r="E43" s="29">
        <f t="shared" si="0"/>
        <v>4259.6384054260998</v>
      </c>
      <c r="F43" s="29"/>
      <c r="G43" s="29">
        <f t="shared" si="1"/>
        <v>-43.499474184600331</v>
      </c>
      <c r="I43" s="36">
        <v>4259638.4054260999</v>
      </c>
      <c r="J43" s="36"/>
      <c r="K43" s="34">
        <f t="shared" si="2"/>
        <v>0</v>
      </c>
    </row>
    <row r="44" spans="1:11" x14ac:dyDescent="0.25">
      <c r="A44" t="s">
        <v>3</v>
      </c>
      <c r="B44" s="14">
        <v>4825.1585243998998</v>
      </c>
      <c r="C44" s="14"/>
      <c r="D44" s="32">
        <v>4764999.5516866995</v>
      </c>
      <c r="E44" s="29">
        <f t="shared" si="0"/>
        <v>4764.9995516866993</v>
      </c>
      <c r="F44" s="29"/>
      <c r="G44" s="29">
        <f t="shared" si="1"/>
        <v>-60.158972713200455</v>
      </c>
      <c r="I44" s="37">
        <v>4764999.5516866995</v>
      </c>
      <c r="J44" s="37"/>
      <c r="K44" s="34">
        <f t="shared" si="2"/>
        <v>0</v>
      </c>
    </row>
    <row r="45" spans="1:11" x14ac:dyDescent="0.25">
      <c r="A45" t="s">
        <v>5</v>
      </c>
      <c r="B45" s="15">
        <v>5053.4743107269996</v>
      </c>
      <c r="C45" s="15"/>
      <c r="D45" s="32">
        <v>4856456.7193147</v>
      </c>
      <c r="E45" s="29">
        <f t="shared" si="0"/>
        <v>4856.4567193147004</v>
      </c>
      <c r="F45" s="29"/>
      <c r="G45" s="29">
        <f>E45-B45</f>
        <v>-197.01759141229923</v>
      </c>
      <c r="I45" s="37">
        <v>4856456.7193147</v>
      </c>
      <c r="J45" s="37"/>
      <c r="K45" s="34">
        <f t="shared" si="2"/>
        <v>0</v>
      </c>
    </row>
    <row r="46" spans="1:11" x14ac:dyDescent="0.25">
      <c r="A46" t="s">
        <v>4</v>
      </c>
      <c r="B46" s="15">
        <v>5048.8999999999996</v>
      </c>
      <c r="C46" s="15"/>
      <c r="D46" s="32">
        <v>5051533.3208062984</v>
      </c>
      <c r="E46" s="29">
        <f t="shared" si="0"/>
        <v>5051.5333208062984</v>
      </c>
      <c r="F46" s="29"/>
      <c r="G46" s="29">
        <f t="shared" si="1"/>
        <v>2.6333208062987978</v>
      </c>
      <c r="I46" s="37">
        <v>5051533.3208062984</v>
      </c>
      <c r="J46" s="37"/>
      <c r="K46" s="34">
        <f t="shared" si="2"/>
        <v>0</v>
      </c>
    </row>
    <row r="47" spans="1:11" x14ac:dyDescent="0.25">
      <c r="A47" t="s">
        <v>44</v>
      </c>
      <c r="B47" s="15">
        <v>5027.8999999999996</v>
      </c>
      <c r="C47" s="15"/>
      <c r="D47" s="32">
        <v>5054031.8415688016</v>
      </c>
      <c r="E47" s="29">
        <f t="shared" si="0"/>
        <v>5054.0318415688016</v>
      </c>
      <c r="F47" s="29"/>
      <c r="G47" s="29">
        <f t="shared" si="1"/>
        <v>26.131841568801974</v>
      </c>
      <c r="I47" s="37">
        <v>5054031.8415688016</v>
      </c>
      <c r="J47" s="37"/>
      <c r="K47" s="34">
        <f t="shared" si="2"/>
        <v>0</v>
      </c>
    </row>
    <row r="48" spans="1:11" x14ac:dyDescent="0.25">
      <c r="A48" t="s">
        <v>43</v>
      </c>
      <c r="B48" s="15">
        <v>4052</v>
      </c>
      <c r="C48" s="15"/>
      <c r="D48" s="32">
        <v>4209509</v>
      </c>
      <c r="E48" s="29">
        <f t="shared" si="0"/>
        <v>4209.509</v>
      </c>
      <c r="F48" s="29"/>
      <c r="G48" s="29">
        <f t="shared" si="1"/>
        <v>157.50900000000001</v>
      </c>
      <c r="H48" s="33"/>
      <c r="I48" s="37">
        <v>4032557.5406946074</v>
      </c>
      <c r="J48" s="37"/>
      <c r="K48" s="34">
        <f t="shared" si="2"/>
        <v>176.95145930539258</v>
      </c>
    </row>
    <row r="49" spans="1:8" x14ac:dyDescent="0.25">
      <c r="A49" t="s">
        <v>42</v>
      </c>
      <c r="B49" s="15">
        <v>3828</v>
      </c>
      <c r="C49" s="15"/>
      <c r="D49" s="32">
        <v>4033530</v>
      </c>
      <c r="E49" s="29">
        <f t="shared" si="0"/>
        <v>4033.53</v>
      </c>
      <c r="F49" s="29"/>
      <c r="G49" s="29">
        <f t="shared" si="1"/>
        <v>205.5300000000002</v>
      </c>
      <c r="H49" s="33"/>
    </row>
    <row r="50" spans="1:8" x14ac:dyDescent="0.25">
      <c r="B50" s="5"/>
      <c r="C50" s="5"/>
    </row>
    <row r="51" spans="1:8" x14ac:dyDescent="0.25">
      <c r="B51" s="5"/>
      <c r="C51" s="5"/>
    </row>
    <row r="52" spans="1:8" x14ac:dyDescent="0.25">
      <c r="B52" s="5"/>
      <c r="C52" s="5"/>
    </row>
    <row r="53" spans="1:8" x14ac:dyDescent="0.25">
      <c r="B53" s="5"/>
      <c r="C53" s="5"/>
    </row>
    <row r="54" spans="1:8" x14ac:dyDescent="0.25">
      <c r="B54" s="5"/>
      <c r="C54" s="5"/>
    </row>
    <row r="55" spans="1:8" x14ac:dyDescent="0.25">
      <c r="B55" s="5"/>
      <c r="C55" s="5"/>
    </row>
    <row r="56" spans="1:8" x14ac:dyDescent="0.25">
      <c r="B56" s="5"/>
      <c r="C56" s="5"/>
    </row>
    <row r="57" spans="1:8" x14ac:dyDescent="0.25">
      <c r="B57" s="5"/>
      <c r="C57" s="5"/>
    </row>
    <row r="58" spans="1:8" x14ac:dyDescent="0.25">
      <c r="B58" s="5"/>
      <c r="C58" s="5"/>
    </row>
    <row r="59" spans="1:8" x14ac:dyDescent="0.25">
      <c r="B59" s="5"/>
      <c r="C59" s="5"/>
    </row>
    <row r="60" spans="1:8" x14ac:dyDescent="0.25">
      <c r="B60" s="5"/>
      <c r="C60" s="5"/>
    </row>
    <row r="61" spans="1:8" x14ac:dyDescent="0.25">
      <c r="B61" s="5"/>
      <c r="C61" s="5"/>
    </row>
    <row r="62" spans="1:8" x14ac:dyDescent="0.25">
      <c r="B62" s="5"/>
      <c r="C62" s="5"/>
    </row>
    <row r="63" spans="1:8" x14ac:dyDescent="0.25">
      <c r="B63" s="5"/>
      <c r="C63" s="5"/>
    </row>
    <row r="64" spans="1:8" x14ac:dyDescent="0.25">
      <c r="B64" s="5"/>
      <c r="C64" s="5"/>
    </row>
    <row r="65" spans="2:3" x14ac:dyDescent="0.25">
      <c r="B65" s="5"/>
      <c r="C65" s="5"/>
    </row>
    <row r="66" spans="2:3" x14ac:dyDescent="0.25">
      <c r="B66" s="5"/>
      <c r="C66" s="5"/>
    </row>
    <row r="67" spans="2:3" x14ac:dyDescent="0.25">
      <c r="B67" s="5"/>
      <c r="C67" s="5"/>
    </row>
    <row r="68" spans="2:3" x14ac:dyDescent="0.25">
      <c r="B68" s="5"/>
      <c r="C68" s="5"/>
    </row>
    <row r="69" spans="2:3" x14ac:dyDescent="0.25">
      <c r="B69" s="5"/>
      <c r="C69" s="5"/>
    </row>
    <row r="70" spans="2:3" x14ac:dyDescent="0.25">
      <c r="B70" s="5"/>
      <c r="C70" s="5"/>
    </row>
    <row r="71" spans="2:3" x14ac:dyDescent="0.25">
      <c r="B71" s="5"/>
      <c r="C71" s="5"/>
    </row>
    <row r="72" spans="2:3" x14ac:dyDescent="0.25">
      <c r="B72" s="5"/>
      <c r="C72" s="5"/>
    </row>
    <row r="73" spans="2:3" x14ac:dyDescent="0.25">
      <c r="B73" s="5"/>
      <c r="C73" s="5"/>
    </row>
    <row r="74" spans="2:3" x14ac:dyDescent="0.25">
      <c r="B74" s="5"/>
      <c r="C74" s="5"/>
    </row>
    <row r="75" spans="2:3" x14ac:dyDescent="0.25">
      <c r="B75" s="5"/>
      <c r="C75" s="5"/>
    </row>
    <row r="76" spans="2:3" x14ac:dyDescent="0.25">
      <c r="B76" s="5"/>
      <c r="C76" s="5"/>
    </row>
    <row r="77" spans="2:3" x14ac:dyDescent="0.25">
      <c r="B77" s="5"/>
      <c r="C77" s="5"/>
    </row>
    <row r="78" spans="2:3" x14ac:dyDescent="0.25">
      <c r="B78" s="5"/>
      <c r="C78" s="5"/>
    </row>
    <row r="79" spans="2:3" x14ac:dyDescent="0.25">
      <c r="B79" s="5"/>
      <c r="C79" s="5"/>
    </row>
    <row r="80" spans="2:3" x14ac:dyDescent="0.25">
      <c r="B80" s="5"/>
      <c r="C80" s="5"/>
    </row>
    <row r="81" spans="2:3" x14ac:dyDescent="0.25">
      <c r="B81" s="5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  <row r="88" spans="2:3" x14ac:dyDescent="0.25">
      <c r="B88" s="5"/>
      <c r="C88" s="5"/>
    </row>
    <row r="89" spans="2:3" x14ac:dyDescent="0.25">
      <c r="B89" s="5"/>
      <c r="C89" s="5"/>
    </row>
    <row r="90" spans="2:3" x14ac:dyDescent="0.25">
      <c r="B90" s="5"/>
      <c r="C90" s="5"/>
    </row>
    <row r="91" spans="2:3" x14ac:dyDescent="0.25">
      <c r="B91" s="5"/>
      <c r="C91" s="5"/>
    </row>
    <row r="92" spans="2:3" x14ac:dyDescent="0.25">
      <c r="B92" s="5"/>
      <c r="C92" s="5"/>
    </row>
    <row r="93" spans="2:3" x14ac:dyDescent="0.25">
      <c r="B93" s="5"/>
      <c r="C93" s="5"/>
    </row>
    <row r="94" spans="2:3" x14ac:dyDescent="0.25">
      <c r="B94" s="5"/>
      <c r="C94" s="5"/>
    </row>
    <row r="95" spans="2:3" x14ac:dyDescent="0.25">
      <c r="B95" s="5"/>
      <c r="C95" s="5"/>
    </row>
    <row r="96" spans="2:3" x14ac:dyDescent="0.25">
      <c r="B96" s="5"/>
      <c r="C96" s="5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>
      <c r="B99" s="5"/>
      <c r="C99" s="5"/>
    </row>
    <row r="100" spans="2:3" x14ac:dyDescent="0.25">
      <c r="B100" s="5"/>
      <c r="C100" s="5"/>
    </row>
    <row r="101" spans="2:3" x14ac:dyDescent="0.25">
      <c r="B101" s="5"/>
      <c r="C101" s="5"/>
    </row>
    <row r="102" spans="2:3" x14ac:dyDescent="0.25">
      <c r="B102" s="5"/>
      <c r="C102" s="5"/>
    </row>
    <row r="103" spans="2:3" x14ac:dyDescent="0.25">
      <c r="B103" s="5"/>
      <c r="C103" s="5"/>
    </row>
    <row r="104" spans="2:3" x14ac:dyDescent="0.25">
      <c r="B104" s="5"/>
      <c r="C104" s="5"/>
    </row>
    <row r="105" spans="2:3" x14ac:dyDescent="0.25">
      <c r="B105" s="5"/>
      <c r="C105" s="5"/>
    </row>
    <row r="106" spans="2:3" x14ac:dyDescent="0.25">
      <c r="B106" s="5"/>
      <c r="C106" s="5"/>
    </row>
    <row r="107" spans="2:3" x14ac:dyDescent="0.25">
      <c r="B107" s="5"/>
      <c r="C107" s="5"/>
    </row>
    <row r="108" spans="2:3" x14ac:dyDescent="0.25">
      <c r="B108" s="5"/>
      <c r="C108" s="5"/>
    </row>
    <row r="109" spans="2:3" x14ac:dyDescent="0.25">
      <c r="B109" s="5"/>
      <c r="C109" s="5"/>
    </row>
    <row r="110" spans="2:3" x14ac:dyDescent="0.25">
      <c r="B110" s="5"/>
      <c r="C110" s="5"/>
    </row>
  </sheetData>
  <mergeCells count="1">
    <mergeCell ref="D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7"/>
  <sheetViews>
    <sheetView zoomScale="80" zoomScaleNormal="80" workbookViewId="0">
      <selection activeCell="H34" sqref="H34"/>
    </sheetView>
  </sheetViews>
  <sheetFormatPr defaultRowHeight="15" x14ac:dyDescent="0.25"/>
  <cols>
    <col min="1" max="1" width="29.140625" bestFit="1" customWidth="1"/>
    <col min="2" max="2" width="16.7109375" bestFit="1" customWidth="1"/>
    <col min="3" max="3" width="19.5703125" bestFit="1" customWidth="1"/>
    <col min="4" max="4" width="25.7109375" customWidth="1"/>
    <col min="5" max="5" width="12.85546875" customWidth="1"/>
    <col min="6" max="6" width="19.7109375" customWidth="1"/>
    <col min="7" max="7" width="14.28515625" bestFit="1" customWidth="1"/>
    <col min="8" max="8" width="15" customWidth="1"/>
  </cols>
  <sheetData>
    <row r="1" spans="1:8" s="12" customFormat="1" ht="45" x14ac:dyDescent="0.25">
      <c r="C1" s="12" t="s">
        <v>81</v>
      </c>
      <c r="D1" s="12" t="s">
        <v>82</v>
      </c>
      <c r="E1" s="12" t="s">
        <v>83</v>
      </c>
      <c r="F1" s="12" t="s">
        <v>54</v>
      </c>
      <c r="G1" s="12" t="s">
        <v>55</v>
      </c>
      <c r="H1" s="12" t="s">
        <v>59</v>
      </c>
    </row>
    <row r="2" spans="1:8" x14ac:dyDescent="0.25">
      <c r="A2" t="s">
        <v>56</v>
      </c>
      <c r="B2" t="s">
        <v>16</v>
      </c>
      <c r="C2" t="e">
        <f>#REF!</f>
        <v>#REF!</v>
      </c>
      <c r="D2" s="5" t="e">
        <f>#REF!</f>
        <v>#REF!</v>
      </c>
      <c r="G2" s="1" t="e">
        <f>#REF!/100</f>
        <v>#REF!</v>
      </c>
    </row>
    <row r="3" spans="1:8" x14ac:dyDescent="0.25">
      <c r="B3" t="s">
        <v>17</v>
      </c>
      <c r="C3" t="e">
        <f>#REF!</f>
        <v>#REF!</v>
      </c>
      <c r="D3" s="5" t="e">
        <f>#REF!</f>
        <v>#REF!</v>
      </c>
      <c r="E3" s="5" t="e">
        <f>D3-D2</f>
        <v>#REF!</v>
      </c>
      <c r="F3" s="2" t="e">
        <f>E3/D2</f>
        <v>#REF!</v>
      </c>
      <c r="G3" s="1" t="e">
        <f>#REF!/100</f>
        <v>#REF!</v>
      </c>
      <c r="H3" s="1" t="e">
        <f>G3-G2</f>
        <v>#REF!</v>
      </c>
    </row>
    <row r="4" spans="1:8" x14ac:dyDescent="0.25">
      <c r="B4" t="s">
        <v>18</v>
      </c>
      <c r="C4" t="e">
        <f>#REF!</f>
        <v>#REF!</v>
      </c>
      <c r="D4" s="5" t="e">
        <f>#REF!</f>
        <v>#REF!</v>
      </c>
      <c r="E4" s="5" t="e">
        <f>D4-D3</f>
        <v>#REF!</v>
      </c>
      <c r="F4" s="2" t="e">
        <f>E4/D3</f>
        <v>#REF!</v>
      </c>
      <c r="G4" s="1" t="e">
        <f>#REF!/100</f>
        <v>#REF!</v>
      </c>
      <c r="H4" s="1" t="e">
        <f>G4-G3</f>
        <v>#REF!</v>
      </c>
    </row>
    <row r="5" spans="1:8" x14ac:dyDescent="0.25">
      <c r="B5" t="s">
        <v>19</v>
      </c>
      <c r="C5" t="e">
        <f>#REF!</f>
        <v>#REF!</v>
      </c>
      <c r="D5" s="5" t="e">
        <f>#REF!</f>
        <v>#REF!</v>
      </c>
      <c r="E5" s="5" t="e">
        <f>D5-D4</f>
        <v>#REF!</v>
      </c>
      <c r="F5" s="2" t="e">
        <f>E5/D4</f>
        <v>#REF!</v>
      </c>
      <c r="G5" s="1" t="e">
        <f>#REF!/100</f>
        <v>#REF!</v>
      </c>
      <c r="H5" s="1" t="e">
        <f>G5-G4</f>
        <v>#REF!</v>
      </c>
    </row>
    <row r="6" spans="1:8" x14ac:dyDescent="0.25">
      <c r="B6" t="s">
        <v>20</v>
      </c>
      <c r="C6" t="e">
        <f>#REF!</f>
        <v>#REF!</v>
      </c>
      <c r="D6" s="5" t="e">
        <f>#REF!</f>
        <v>#REF!</v>
      </c>
      <c r="E6" s="5" t="e">
        <f>D6-D5</f>
        <v>#REF!</v>
      </c>
      <c r="F6" s="2" t="e">
        <f>E6/D5</f>
        <v>#REF!</v>
      </c>
      <c r="G6" s="1" t="e">
        <f>#REF!/100</f>
        <v>#REF!</v>
      </c>
      <c r="H6" s="1" t="e">
        <f>G6-G5</f>
        <v>#REF!</v>
      </c>
    </row>
    <row r="7" spans="1:8" x14ac:dyDescent="0.25">
      <c r="B7" t="s">
        <v>21</v>
      </c>
      <c r="C7" t="e">
        <f>#REF!</f>
        <v>#REF!</v>
      </c>
      <c r="D7" s="5" t="e">
        <f>#REF!</f>
        <v>#REF!</v>
      </c>
      <c r="E7" s="5" t="e">
        <f>D7-D6</f>
        <v>#REF!</v>
      </c>
      <c r="F7" s="2" t="e">
        <f>E7/D6</f>
        <v>#REF!</v>
      </c>
      <c r="G7" s="1" t="e">
        <f>#REF!/100</f>
        <v>#REF!</v>
      </c>
      <c r="H7" s="1" t="e">
        <f>G7-G6</f>
        <v>#REF!</v>
      </c>
    </row>
    <row r="8" spans="1:8" x14ac:dyDescent="0.25">
      <c r="D8" s="5"/>
      <c r="E8" s="5"/>
    </row>
    <row r="9" spans="1:8" x14ac:dyDescent="0.25">
      <c r="A9" t="s">
        <v>57</v>
      </c>
      <c r="B9" t="s">
        <v>27</v>
      </c>
      <c r="C9" t="e">
        <f>#REF!</f>
        <v>#REF!</v>
      </c>
      <c r="D9" s="5" t="e">
        <f>#REF!</f>
        <v>#REF!</v>
      </c>
      <c r="E9" s="5"/>
      <c r="G9" s="2" t="e">
        <f>#REF!/100</f>
        <v>#REF!</v>
      </c>
    </row>
    <row r="10" spans="1:8" x14ac:dyDescent="0.25">
      <c r="B10" t="s">
        <v>28</v>
      </c>
      <c r="C10" t="e">
        <f>#REF!</f>
        <v>#REF!</v>
      </c>
      <c r="D10" s="5" t="e">
        <f>#REF!</f>
        <v>#REF!</v>
      </c>
      <c r="E10" s="5" t="e">
        <f>D10-D9</f>
        <v>#REF!</v>
      </c>
      <c r="F10" s="2" t="e">
        <f>E10/D9</f>
        <v>#REF!</v>
      </c>
      <c r="G10" s="2" t="e">
        <f>#REF!/100</f>
        <v>#REF!</v>
      </c>
      <c r="H10" s="2" t="e">
        <f>G10-G9</f>
        <v>#REF!</v>
      </c>
    </row>
    <row r="11" spans="1:8" x14ac:dyDescent="0.25">
      <c r="B11" t="s">
        <v>29</v>
      </c>
      <c r="C11" t="e">
        <f>#REF!</f>
        <v>#REF!</v>
      </c>
      <c r="D11" s="5" t="e">
        <f>#REF!</f>
        <v>#REF!</v>
      </c>
      <c r="E11" s="5" t="e">
        <f>D11-D10</f>
        <v>#REF!</v>
      </c>
      <c r="F11" s="2" t="e">
        <f>E11/D10</f>
        <v>#REF!</v>
      </c>
      <c r="G11" s="2" t="e">
        <f>#REF!/100</f>
        <v>#REF!</v>
      </c>
      <c r="H11" s="2" t="e">
        <f>G11-G10</f>
        <v>#REF!</v>
      </c>
    </row>
    <row r="12" spans="1:8" x14ac:dyDescent="0.25">
      <c r="B12" t="s">
        <v>30</v>
      </c>
      <c r="C12" t="e">
        <f>#REF!</f>
        <v>#REF!</v>
      </c>
      <c r="D12" s="5" t="e">
        <f>#REF!</f>
        <v>#REF!</v>
      </c>
      <c r="E12" s="5" t="e">
        <f>D12-D11</f>
        <v>#REF!</v>
      </c>
      <c r="F12" s="2" t="e">
        <f>E12/D11</f>
        <v>#REF!</v>
      </c>
      <c r="G12" s="2" t="e">
        <f>#REF!/100</f>
        <v>#REF!</v>
      </c>
      <c r="H12" s="2" t="e">
        <f>G12-G11</f>
        <v>#REF!</v>
      </c>
    </row>
    <row r="13" spans="1:8" x14ac:dyDescent="0.25">
      <c r="B13" t="s">
        <v>31</v>
      </c>
      <c r="C13" t="e">
        <f>#REF!</f>
        <v>#REF!</v>
      </c>
      <c r="D13" s="5" t="e">
        <f>#REF!</f>
        <v>#REF!</v>
      </c>
      <c r="E13" s="5" t="e">
        <f>D13-D12</f>
        <v>#REF!</v>
      </c>
      <c r="F13" s="2" t="e">
        <f>E13/D12</f>
        <v>#REF!</v>
      </c>
      <c r="G13" s="2" t="e">
        <f>#REF!/100</f>
        <v>#REF!</v>
      </c>
      <c r="H13" s="2" t="e">
        <f>G13-G12</f>
        <v>#REF!</v>
      </c>
    </row>
    <row r="14" spans="1:8" x14ac:dyDescent="0.25">
      <c r="B14" t="s">
        <v>32</v>
      </c>
      <c r="C14" t="e">
        <f>#REF!</f>
        <v>#REF!</v>
      </c>
      <c r="D14" s="5" t="e">
        <f>#REF!</f>
        <v>#REF!</v>
      </c>
      <c r="E14" s="5" t="e">
        <f>D14-D13</f>
        <v>#REF!</v>
      </c>
      <c r="F14" s="2" t="e">
        <f>E14/D13</f>
        <v>#REF!</v>
      </c>
      <c r="G14" s="2" t="e">
        <f>#REF!/100</f>
        <v>#REF!</v>
      </c>
      <c r="H14" s="2" t="e">
        <f>G14-G13</f>
        <v>#REF!</v>
      </c>
    </row>
    <row r="15" spans="1:8" x14ac:dyDescent="0.25">
      <c r="E15" s="5"/>
    </row>
    <row r="16" spans="1:8" x14ac:dyDescent="0.25">
      <c r="A16" t="s">
        <v>58</v>
      </c>
      <c r="B16" t="s">
        <v>5</v>
      </c>
      <c r="C16" t="e">
        <f>#REF!</f>
        <v>#REF!</v>
      </c>
      <c r="D16" s="5" t="e">
        <f>#REF!</f>
        <v>#REF!</v>
      </c>
      <c r="E16" s="5"/>
      <c r="G16" s="2" t="e">
        <f>#REF!/100</f>
        <v>#REF!</v>
      </c>
    </row>
    <row r="17" spans="1:8" x14ac:dyDescent="0.25">
      <c r="B17" t="s">
        <v>4</v>
      </c>
      <c r="C17" t="e">
        <f>#REF!</f>
        <v>#REF!</v>
      </c>
      <c r="D17" s="5" t="e">
        <f>#REF!</f>
        <v>#REF!</v>
      </c>
      <c r="E17" s="5" t="e">
        <f>D17-D16</f>
        <v>#REF!</v>
      </c>
      <c r="F17" s="8" t="e">
        <f>E17/D16*100</f>
        <v>#REF!</v>
      </c>
      <c r="G17" s="2" t="e">
        <f>#REF!/100</f>
        <v>#REF!</v>
      </c>
      <c r="H17" s="2" t="e">
        <f>G17-G16</f>
        <v>#REF!</v>
      </c>
    </row>
    <row r="18" spans="1:8" x14ac:dyDescent="0.25">
      <c r="B18" t="s">
        <v>44</v>
      </c>
      <c r="C18" t="e">
        <f>#REF!</f>
        <v>#REF!</v>
      </c>
      <c r="D18" s="5" t="e">
        <f>#REF!</f>
        <v>#REF!</v>
      </c>
      <c r="E18" s="5" t="e">
        <f>D18-D17</f>
        <v>#REF!</v>
      </c>
      <c r="F18" s="8" t="e">
        <f>E18/D17*100</f>
        <v>#REF!</v>
      </c>
      <c r="G18" s="2" t="e">
        <f>#REF!/100</f>
        <v>#REF!</v>
      </c>
      <c r="H18" s="2" t="e">
        <f>G18-G17</f>
        <v>#REF!</v>
      </c>
    </row>
    <row r="19" spans="1:8" x14ac:dyDescent="0.25">
      <c r="B19" t="s">
        <v>43</v>
      </c>
      <c r="C19" t="e">
        <f>#REF!</f>
        <v>#REF!</v>
      </c>
      <c r="D19" s="5" t="e">
        <f>#REF!</f>
        <v>#REF!</v>
      </c>
      <c r="E19" s="5" t="e">
        <f>D19-D18</f>
        <v>#REF!</v>
      </c>
      <c r="F19" s="8" t="e">
        <f>E19/D18*100</f>
        <v>#REF!</v>
      </c>
      <c r="G19" s="2" t="e">
        <f>#REF!/100</f>
        <v>#REF!</v>
      </c>
      <c r="H19" s="2" t="e">
        <f>G19-G18</f>
        <v>#REF!</v>
      </c>
    </row>
    <row r="20" spans="1:8" x14ac:dyDescent="0.25">
      <c r="B20" t="s">
        <v>42</v>
      </c>
      <c r="C20" t="e">
        <f>#REF!</f>
        <v>#REF!</v>
      </c>
      <c r="D20" s="5" t="e">
        <f>#REF!</f>
        <v>#REF!</v>
      </c>
      <c r="E20" s="5" t="e">
        <f>D20-D19</f>
        <v>#REF!</v>
      </c>
      <c r="F20" s="8" t="e">
        <f>E20/D19*100</f>
        <v>#REF!</v>
      </c>
      <c r="G20" s="2" t="e">
        <f>#REF!/100</f>
        <v>#REF!</v>
      </c>
      <c r="H20" s="2" t="e">
        <f>G20-G19</f>
        <v>#REF!</v>
      </c>
    </row>
    <row r="21" spans="1:8" x14ac:dyDescent="0.25">
      <c r="B21" t="s">
        <v>41</v>
      </c>
      <c r="C21" t="e">
        <f>#REF!</f>
        <v>#REF!</v>
      </c>
      <c r="D21" s="5" t="e">
        <f>#REF!</f>
        <v>#REF!</v>
      </c>
      <c r="E21" s="5" t="e">
        <f>D21-D20</f>
        <v>#REF!</v>
      </c>
      <c r="F21" s="8" t="e">
        <f>E21/D20*100</f>
        <v>#REF!</v>
      </c>
      <c r="G21" s="2" t="e">
        <f>#REF!/100</f>
        <v>#REF!</v>
      </c>
      <c r="H21" s="2" t="e">
        <f>G21-G20</f>
        <v>#REF!</v>
      </c>
    </row>
    <row r="23" spans="1:8" x14ac:dyDescent="0.25">
      <c r="B23" t="s">
        <v>61</v>
      </c>
    </row>
    <row r="24" spans="1:8" x14ac:dyDescent="0.25">
      <c r="B24" t="s">
        <v>84</v>
      </c>
      <c r="C24" t="s">
        <v>63</v>
      </c>
    </row>
    <row r="25" spans="1:8" x14ac:dyDescent="0.25">
      <c r="A25" t="s">
        <v>64</v>
      </c>
      <c r="B25" s="5" t="e">
        <f>-(E3+E4+E5)</f>
        <v>#REF!</v>
      </c>
      <c r="C25" s="9" t="e">
        <f>B25/D2</f>
        <v>#REF!</v>
      </c>
    </row>
    <row r="26" spans="1:8" x14ac:dyDescent="0.25">
      <c r="A26" t="s">
        <v>65</v>
      </c>
      <c r="B26" s="5" t="e">
        <f>-(E10+E11)</f>
        <v>#REF!</v>
      </c>
      <c r="C26" s="9" t="e">
        <f>B26/D9</f>
        <v>#REF!</v>
      </c>
    </row>
    <row r="27" spans="1:8" x14ac:dyDescent="0.25">
      <c r="A27" t="s">
        <v>66</v>
      </c>
      <c r="B27" s="5" t="e">
        <f>-(SUM(E17:E20))</f>
        <v>#REF!</v>
      </c>
      <c r="C27" s="9" t="e">
        <f>B27/D16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2018-19 budget</vt:lpstr>
      <vt:lpstr>green book comparison</vt:lpstr>
      <vt:lpstr>Historic cuts comparison</vt:lpstr>
    </vt:vector>
  </TitlesOfParts>
  <Company>ANU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Parima Panpruet</dc:creator>
  <cp:lastModifiedBy>Sachini Muller</cp:lastModifiedBy>
  <cp:lastPrinted>2014-05-13T04:37:30Z</cp:lastPrinted>
  <dcterms:created xsi:type="dcterms:W3CDTF">2013-08-28T03:04:12Z</dcterms:created>
  <dcterms:modified xsi:type="dcterms:W3CDTF">2018-06-07T04:11:46Z</dcterms:modified>
</cp:coreProperties>
</file>