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194888\Dropbox\UNIVERSITY GW\FROM ANU COMPUTER\ANU\DLP-ANTICORRP\Strength State society Rsch\State mapping and integrity\AC Funding\2019 Budget\"/>
    </mc:Choice>
  </mc:AlternateContent>
  <bookViews>
    <workbookView xWindow="0" yWindow="0" windowWidth="20730" windowHeight="11400"/>
  </bookViews>
  <sheets>
    <sheet name="Tables" sheetId="1" r:id="rId1"/>
  </sheets>
  <calcPr calcId="162913"/>
  <fileRecoveryPr repairLoad="1"/>
</workbook>
</file>

<file path=xl/calcChain.xml><?xml version="1.0" encoding="utf-8"?>
<calcChain xmlns="http://schemas.openxmlformats.org/spreadsheetml/2006/main">
  <c r="R46" i="1" l="1"/>
  <c r="R36" i="1"/>
  <c r="M28" i="1" l="1"/>
  <c r="M74" i="1" s="1"/>
  <c r="M84" i="1"/>
  <c r="O84" i="1"/>
  <c r="O78" i="1" s="1"/>
  <c r="E21" i="1"/>
  <c r="E17" i="1"/>
  <c r="E144" i="1" s="1"/>
  <c r="E51" i="1" s="1"/>
  <c r="E10" i="1"/>
  <c r="E84" i="1"/>
  <c r="E139" i="1"/>
  <c r="E132" i="1"/>
  <c r="N139" i="1"/>
  <c r="N11" i="1"/>
  <c r="N84" i="1"/>
  <c r="N37" i="1"/>
  <c r="N18" i="1"/>
  <c r="N22" i="1"/>
  <c r="N47" i="1"/>
  <c r="N120" i="1" s="1"/>
  <c r="N28" i="1"/>
  <c r="M11" i="1"/>
  <c r="M37" i="1" s="1"/>
  <c r="M18" i="1"/>
  <c r="M42" i="1"/>
  <c r="M22" i="1"/>
  <c r="M47" i="1" s="1"/>
  <c r="M120" i="1" s="1"/>
  <c r="F84" i="1"/>
  <c r="G84" i="1"/>
  <c r="H84" i="1"/>
  <c r="H41" i="1" s="1"/>
  <c r="I84" i="1"/>
  <c r="I57" i="1" s="1"/>
  <c r="J84" i="1"/>
  <c r="J104" i="1" s="1"/>
  <c r="K84" i="1"/>
  <c r="L84" i="1"/>
  <c r="L104" i="1" s="1"/>
  <c r="P84" i="1"/>
  <c r="P10" i="1"/>
  <c r="P24" i="1"/>
  <c r="P56" i="1"/>
  <c r="P29" i="1"/>
  <c r="P78" i="1" s="1"/>
  <c r="M139" i="1"/>
  <c r="M133" i="1"/>
  <c r="M21" i="1"/>
  <c r="M17" i="1"/>
  <c r="M10" i="1"/>
  <c r="M27" i="1"/>
  <c r="M73" i="1" s="1"/>
  <c r="M144" i="1" s="1"/>
  <c r="M132" i="1"/>
  <c r="O139" i="1"/>
  <c r="O132" i="1" s="1"/>
  <c r="P139" i="1"/>
  <c r="P132" i="1"/>
  <c r="G139" i="1"/>
  <c r="G132" i="1" s="1"/>
  <c r="G133" i="1"/>
  <c r="J139" i="1"/>
  <c r="J133" i="1" s="1"/>
  <c r="L139" i="1"/>
  <c r="L133" i="1"/>
  <c r="K139" i="1"/>
  <c r="K133" i="1" s="1"/>
  <c r="K128" i="1" s="1"/>
  <c r="I139" i="1"/>
  <c r="I133" i="1"/>
  <c r="H139" i="1"/>
  <c r="F139" i="1"/>
  <c r="F132" i="1" s="1"/>
  <c r="F133" i="1"/>
  <c r="E133" i="1"/>
  <c r="K89" i="1"/>
  <c r="L89" i="1"/>
  <c r="H89" i="1"/>
  <c r="H109" i="1" s="1"/>
  <c r="F89" i="1"/>
  <c r="F109" i="1" s="1"/>
  <c r="M119" i="1"/>
  <c r="N121" i="1"/>
  <c r="P21" i="1"/>
  <c r="P17" i="1"/>
  <c r="P19" i="1"/>
  <c r="P68" i="1" s="1"/>
  <c r="P121" i="1" s="1"/>
  <c r="P27" i="1"/>
  <c r="O21" i="1"/>
  <c r="O17" i="1"/>
  <c r="O51" i="1" s="1"/>
  <c r="O19" i="1"/>
  <c r="O27" i="1"/>
  <c r="O73" i="1" s="1"/>
  <c r="O29" i="1"/>
  <c r="O144" i="1"/>
  <c r="O36" i="1"/>
  <c r="O118" i="1" s="1"/>
  <c r="P108" i="1"/>
  <c r="O103" i="1"/>
  <c r="N103" i="1"/>
  <c r="M103" i="1"/>
  <c r="K104" i="1"/>
  <c r="I104" i="1"/>
  <c r="L103" i="1"/>
  <c r="K103" i="1"/>
  <c r="J103" i="1"/>
  <c r="P73" i="1"/>
  <c r="P122" i="1"/>
  <c r="P14" i="1"/>
  <c r="P62" i="1"/>
  <c r="P46" i="1"/>
  <c r="P120" i="1" s="1"/>
  <c r="N30" i="1"/>
  <c r="N29" i="1"/>
  <c r="N78" i="1" s="1"/>
  <c r="O23" i="1"/>
  <c r="O16" i="1"/>
  <c r="O26" i="1"/>
  <c r="N25" i="1"/>
  <c r="N15" i="1"/>
  <c r="N63" i="1" s="1"/>
  <c r="L15" i="1"/>
  <c r="M15" i="1"/>
  <c r="L109" i="1"/>
  <c r="L11" i="1"/>
  <c r="L37" i="1" s="1"/>
  <c r="L18" i="1"/>
  <c r="L42" i="1" s="1"/>
  <c r="L22" i="1"/>
  <c r="L47" i="1" s="1"/>
  <c r="L28" i="1"/>
  <c r="L88" i="1"/>
  <c r="L108" i="1" s="1"/>
  <c r="L21" i="1"/>
  <c r="L51" i="1" s="1"/>
  <c r="L17" i="1"/>
  <c r="L19" i="1"/>
  <c r="L68" i="1" s="1"/>
  <c r="L10" i="1"/>
  <c r="L27" i="1"/>
  <c r="M30" i="1"/>
  <c r="M79" i="1"/>
  <c r="M122" i="1"/>
  <c r="L74" i="1"/>
  <c r="K11" i="1"/>
  <c r="K37" i="1"/>
  <c r="K145" i="1" s="1"/>
  <c r="K18" i="1"/>
  <c r="K42" i="1"/>
  <c r="K22" i="1"/>
  <c r="K47" i="1"/>
  <c r="K28" i="1"/>
  <c r="K74" i="1"/>
  <c r="F11" i="1"/>
  <c r="F37" i="1"/>
  <c r="F52" i="1" s="1"/>
  <c r="F18" i="1"/>
  <c r="F42" i="1" s="1"/>
  <c r="F22" i="1"/>
  <c r="F47" i="1" s="1"/>
  <c r="F145" i="1" s="1"/>
  <c r="G11" i="1"/>
  <c r="G37" i="1"/>
  <c r="G145" i="1" s="1"/>
  <c r="G18" i="1"/>
  <c r="G42" i="1"/>
  <c r="G52" i="1" s="1"/>
  <c r="G22" i="1"/>
  <c r="G47" i="1"/>
  <c r="H11" i="1"/>
  <c r="H37" i="1"/>
  <c r="H18" i="1"/>
  <c r="H42" i="1"/>
  <c r="H52" i="1" s="1"/>
  <c r="H22" i="1"/>
  <c r="H47" i="1"/>
  <c r="H20" i="1"/>
  <c r="H145" i="1"/>
  <c r="I11" i="1"/>
  <c r="I37" i="1"/>
  <c r="I18" i="1"/>
  <c r="I42" i="1"/>
  <c r="I22" i="1"/>
  <c r="I47" i="1"/>
  <c r="I20" i="1"/>
  <c r="I145" i="1"/>
  <c r="J11" i="1"/>
  <c r="J37" i="1"/>
  <c r="J18" i="1"/>
  <c r="J42" i="1"/>
  <c r="J52" i="1" s="1"/>
  <c r="J22" i="1"/>
  <c r="J47" i="1"/>
  <c r="J20" i="1"/>
  <c r="J145" i="1"/>
  <c r="N21" i="1"/>
  <c r="N17" i="1"/>
  <c r="N19" i="1"/>
  <c r="N68" i="1" s="1"/>
  <c r="N10" i="1"/>
  <c r="N51" i="1" s="1"/>
  <c r="N27" i="1"/>
  <c r="L144" i="1"/>
  <c r="K21" i="1"/>
  <c r="K17" i="1"/>
  <c r="K51" i="1" s="1"/>
  <c r="K19" i="1"/>
  <c r="K10" i="1"/>
  <c r="K36" i="1" s="1"/>
  <c r="K27" i="1"/>
  <c r="F21" i="1"/>
  <c r="F46" i="1" s="1"/>
  <c r="F17" i="1"/>
  <c r="F10" i="1"/>
  <c r="F36" i="1" s="1"/>
  <c r="G21" i="1"/>
  <c r="G46" i="1" s="1"/>
  <c r="G17" i="1"/>
  <c r="G10" i="1"/>
  <c r="H21" i="1"/>
  <c r="H46" i="1" s="1"/>
  <c r="H17" i="1"/>
  <c r="H10" i="1"/>
  <c r="H36" i="1" s="1"/>
  <c r="I21" i="1"/>
  <c r="I46" i="1" s="1"/>
  <c r="I17" i="1"/>
  <c r="I19" i="1"/>
  <c r="I10" i="1"/>
  <c r="I144" i="1"/>
  <c r="J21" i="1"/>
  <c r="J17" i="1"/>
  <c r="J19" i="1"/>
  <c r="J68" i="1" s="1"/>
  <c r="J10" i="1"/>
  <c r="J36" i="1" s="1"/>
  <c r="E11" i="1"/>
  <c r="E37" i="1"/>
  <c r="E18" i="1"/>
  <c r="E42" i="1" s="1"/>
  <c r="E22" i="1"/>
  <c r="E47" i="1" s="1"/>
  <c r="E145" i="1" s="1"/>
  <c r="E52" i="1" s="1"/>
  <c r="E89" i="1"/>
  <c r="E109" i="1"/>
  <c r="E113" i="1" s="1"/>
  <c r="E88" i="1"/>
  <c r="E108" i="1" s="1"/>
  <c r="E14" i="1"/>
  <c r="E62" i="1" s="1"/>
  <c r="E24" i="1"/>
  <c r="E56" i="1" s="1"/>
  <c r="K88" i="1"/>
  <c r="O46" i="1"/>
  <c r="O120" i="1" s="1"/>
  <c r="O24" i="1"/>
  <c r="O56" i="1" s="1"/>
  <c r="L36" i="1"/>
  <c r="E36" i="1"/>
  <c r="N88" i="1"/>
  <c r="M88" i="1"/>
  <c r="M108" i="1"/>
  <c r="M41" i="1"/>
  <c r="O108" i="1"/>
  <c r="H51" i="1"/>
  <c r="H93" i="1" s="1"/>
  <c r="O68" i="1"/>
  <c r="O121" i="1" s="1"/>
  <c r="O122" i="1"/>
  <c r="K52" i="1"/>
  <c r="O14" i="1"/>
  <c r="O62" i="1" s="1"/>
  <c r="N26" i="1"/>
  <c r="N23" i="1"/>
  <c r="N12" i="1"/>
  <c r="N14" i="1"/>
  <c r="N16" i="1"/>
  <c r="G16" i="1"/>
  <c r="E16" i="1"/>
  <c r="E15" i="1"/>
  <c r="E63" i="1" s="1"/>
  <c r="N24" i="1"/>
  <c r="N56" i="1" s="1"/>
  <c r="M26" i="1"/>
  <c r="M24" i="1"/>
  <c r="M23" i="1"/>
  <c r="M16" i="1"/>
  <c r="M14" i="1"/>
  <c r="L14" i="1"/>
  <c r="M12" i="1"/>
  <c r="L26" i="1"/>
  <c r="L25" i="1"/>
  <c r="L24" i="1"/>
  <c r="L56" i="1" s="1"/>
  <c r="L23" i="1"/>
  <c r="L16" i="1"/>
  <c r="L12" i="1"/>
  <c r="K26" i="1"/>
  <c r="K25" i="1"/>
  <c r="K24" i="1"/>
  <c r="K23" i="1"/>
  <c r="K16" i="1"/>
  <c r="K15" i="1"/>
  <c r="K14" i="1"/>
  <c r="K62" i="1" s="1"/>
  <c r="K12" i="1"/>
  <c r="J26" i="1"/>
  <c r="J25" i="1"/>
  <c r="J24" i="1"/>
  <c r="J56" i="1" s="1"/>
  <c r="J23" i="1"/>
  <c r="J16" i="1"/>
  <c r="J15" i="1"/>
  <c r="J63" i="1" s="1"/>
  <c r="J14" i="1"/>
  <c r="F14" i="1"/>
  <c r="F15" i="1"/>
  <c r="F16" i="1"/>
  <c r="I26" i="1"/>
  <c r="I25" i="1"/>
  <c r="I24" i="1"/>
  <c r="I23" i="1"/>
  <c r="I16" i="1"/>
  <c r="I15" i="1"/>
  <c r="I14" i="1"/>
  <c r="I12" i="1"/>
  <c r="H26" i="1"/>
  <c r="H25" i="1"/>
  <c r="H24" i="1"/>
  <c r="H56" i="1" s="1"/>
  <c r="H23" i="1"/>
  <c r="H16" i="1"/>
  <c r="H15" i="1"/>
  <c r="H14" i="1"/>
  <c r="H12" i="1"/>
  <c r="G26" i="1"/>
  <c r="G25" i="1"/>
  <c r="G24" i="1"/>
  <c r="G56" i="1" s="1"/>
  <c r="G23" i="1"/>
  <c r="G15" i="1"/>
  <c r="G63" i="1" s="1"/>
  <c r="G14" i="1"/>
  <c r="G12" i="1"/>
  <c r="F26" i="1"/>
  <c r="F25" i="1"/>
  <c r="F57" i="1" s="1"/>
  <c r="F24" i="1"/>
  <c r="F23" i="1"/>
  <c r="F12" i="1"/>
  <c r="E12" i="1"/>
  <c r="E23" i="1"/>
  <c r="E26" i="1"/>
  <c r="E25" i="1"/>
  <c r="I68" i="1"/>
  <c r="L132" i="1"/>
  <c r="M36" i="1"/>
  <c r="H88" i="1"/>
  <c r="F88" i="1"/>
  <c r="F108" i="1"/>
  <c r="G89" i="1"/>
  <c r="G109" i="1" s="1"/>
  <c r="G88" i="1"/>
  <c r="G108" i="1"/>
  <c r="I89" i="1"/>
  <c r="I88" i="1"/>
  <c r="J89" i="1"/>
  <c r="J109" i="1"/>
  <c r="J88" i="1"/>
  <c r="J108" i="1" s="1"/>
  <c r="G62" i="1"/>
  <c r="E41" i="1"/>
  <c r="I41" i="1"/>
  <c r="L57" i="1"/>
  <c r="F63" i="1"/>
  <c r="J12" i="1"/>
  <c r="M68" i="1"/>
  <c r="G36" i="1"/>
  <c r="I36" i="1"/>
  <c r="K46" i="1"/>
  <c r="L62" i="1"/>
  <c r="I63" i="1"/>
  <c r="G57" i="1"/>
  <c r="K57" i="1"/>
  <c r="H57" i="1"/>
  <c r="H62" i="1"/>
  <c r="H108" i="1"/>
  <c r="M63" i="1"/>
  <c r="H63" i="1"/>
  <c r="J57" i="1"/>
  <c r="L41" i="1"/>
  <c r="L69" i="1"/>
  <c r="L63" i="1"/>
  <c r="J46" i="1"/>
  <c r="J62" i="1"/>
  <c r="M56" i="1"/>
  <c r="G41" i="1"/>
  <c r="L73" i="1"/>
  <c r="F41" i="1"/>
  <c r="K63" i="1"/>
  <c r="K56" i="1"/>
  <c r="J69" i="1"/>
  <c r="H69" i="1"/>
  <c r="E46" i="1"/>
  <c r="I132" i="1"/>
  <c r="I62" i="1"/>
  <c r="I56" i="1"/>
  <c r="K41" i="1"/>
  <c r="K73" i="1"/>
  <c r="E57" i="1"/>
  <c r="I108" i="1"/>
  <c r="I109" i="1"/>
  <c r="K108" i="1"/>
  <c r="K109" i="1"/>
  <c r="L46" i="1"/>
  <c r="K68" i="1"/>
  <c r="J41" i="1"/>
  <c r="K69" i="1"/>
  <c r="I69" i="1"/>
  <c r="N57" i="1"/>
  <c r="N79" i="1"/>
  <c r="N46" i="1"/>
  <c r="N62" i="1"/>
  <c r="N41" i="1"/>
  <c r="N104" i="1"/>
  <c r="N108" i="1"/>
  <c r="N109" i="1"/>
  <c r="N118" i="1"/>
  <c r="N93" i="1" l="1"/>
  <c r="O93" i="1"/>
  <c r="O64" i="1"/>
  <c r="O127" i="1"/>
  <c r="O58" i="1"/>
  <c r="K93" i="1"/>
  <c r="H58" i="1"/>
  <c r="H64" i="1"/>
  <c r="H114" i="1"/>
  <c r="H128" i="1"/>
  <c r="H94" i="1"/>
  <c r="G58" i="1"/>
  <c r="G128" i="1"/>
  <c r="G64" i="1"/>
  <c r="G94" i="1"/>
  <c r="L93" i="1"/>
  <c r="L127" i="1"/>
  <c r="L52" i="1"/>
  <c r="L145" i="1"/>
  <c r="J94" i="1"/>
  <c r="J58" i="1"/>
  <c r="J128" i="1"/>
  <c r="J64" i="1"/>
  <c r="F64" i="1"/>
  <c r="F58" i="1"/>
  <c r="F128" i="1"/>
  <c r="F94" i="1"/>
  <c r="I113" i="1"/>
  <c r="E128" i="1"/>
  <c r="E94" i="1"/>
  <c r="E64" i="1"/>
  <c r="E114" i="1"/>
  <c r="E58" i="1"/>
  <c r="E127" i="1"/>
  <c r="E93" i="1"/>
  <c r="K113" i="1"/>
  <c r="F51" i="1"/>
  <c r="F114" i="1" s="1"/>
  <c r="K132" i="1"/>
  <c r="K127" i="1" s="1"/>
  <c r="H144" i="1"/>
  <c r="G144" i="1"/>
  <c r="F144" i="1"/>
  <c r="M145" i="1"/>
  <c r="P51" i="1"/>
  <c r="N52" i="1"/>
  <c r="K114" i="1"/>
  <c r="K94" i="1"/>
  <c r="H133" i="1"/>
  <c r="H132" i="1"/>
  <c r="H127" i="1" s="1"/>
  <c r="N132" i="1"/>
  <c r="N127" i="1" s="1"/>
  <c r="N133" i="1"/>
  <c r="I51" i="1"/>
  <c r="O41" i="1"/>
  <c r="O119" i="1" s="1"/>
  <c r="J144" i="1"/>
  <c r="J51" i="1"/>
  <c r="J114" i="1" s="1"/>
  <c r="K144" i="1"/>
  <c r="N144" i="1"/>
  <c r="I52" i="1"/>
  <c r="P144" i="1"/>
  <c r="H113" i="1"/>
  <c r="M51" i="1"/>
  <c r="P36" i="1"/>
  <c r="P118" i="1" s="1"/>
  <c r="F56" i="1"/>
  <c r="F62" i="1"/>
  <c r="N73" i="1"/>
  <c r="N74" i="1"/>
  <c r="N122" i="1" s="1"/>
  <c r="N42" i="1"/>
  <c r="N36" i="1"/>
  <c r="K58" i="1"/>
  <c r="G51" i="1"/>
  <c r="G114" i="1" s="1"/>
  <c r="K64" i="1"/>
  <c r="J132" i="1"/>
  <c r="P103" i="1"/>
  <c r="P41" i="1"/>
  <c r="P119" i="1" s="1"/>
  <c r="M118" i="1"/>
  <c r="M52" i="1"/>
  <c r="M104" i="1"/>
  <c r="M109" i="1"/>
  <c r="M62" i="1"/>
  <c r="M57" i="1"/>
  <c r="M46" i="1"/>
  <c r="M58" i="1" l="1"/>
  <c r="M94" i="1"/>
  <c r="M128" i="1"/>
  <c r="M64" i="1"/>
  <c r="M114" i="1"/>
  <c r="I93" i="1"/>
  <c r="I127" i="1"/>
  <c r="P64" i="1"/>
  <c r="P127" i="1"/>
  <c r="P58" i="1"/>
  <c r="P93" i="1"/>
  <c r="G113" i="1"/>
  <c r="M93" i="1"/>
  <c r="M127" i="1"/>
  <c r="N58" i="1"/>
  <c r="N114" i="1"/>
  <c r="N113" i="1"/>
  <c r="N128" i="1"/>
  <c r="N64" i="1"/>
  <c r="N94" i="1"/>
  <c r="M113" i="1"/>
  <c r="N119" i="1"/>
  <c r="N145" i="1"/>
  <c r="J93" i="1"/>
  <c r="J127" i="1"/>
  <c r="G93" i="1"/>
  <c r="G127" i="1"/>
  <c r="I94" i="1"/>
  <c r="I64" i="1"/>
  <c r="I114" i="1"/>
  <c r="I58" i="1"/>
  <c r="I128" i="1"/>
  <c r="F127" i="1"/>
  <c r="F93" i="1"/>
  <c r="F113" i="1"/>
  <c r="J113" i="1"/>
  <c r="L94" i="1"/>
  <c r="L114" i="1"/>
  <c r="L128" i="1"/>
  <c r="L64" i="1"/>
  <c r="L58" i="1"/>
  <c r="L113" i="1"/>
</calcChain>
</file>

<file path=xl/comments1.xml><?xml version="1.0" encoding="utf-8"?>
<comments xmlns="http://schemas.openxmlformats.org/spreadsheetml/2006/main">
  <authors>
    <author>Husnia Hushang</author>
    <author>Grant Walton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2008 budget: Summary_natdept, p. 3 &amp;  No. 503, p. 755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2009 Bud: Vol 2 P1.3, Summary - approp. statutory, p. 7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 2010 bud: Vol 2, Part 1, Summary - Statutory, p.7  &amp; Sum Statutory  &amp; 503 , p 937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 Bud: Vol 2, Part 3, Summary - Statutory, p.7  &amp; Sum Statutory 503 , P. 991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 Bud: Vol 2, Part 1.a _part 3, Summary - Statutory, p.7  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Part 1a, p. 55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Part 1a,Rev &amp; Exp _GovDepts, p. 79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 a, Rev  &amp; Exp for Nat Gov Dep, P. 73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Budg: Vol 2a - Rev &amp; Exp _GovDepts, P. 62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Budg: Vol 2a - Rev &amp; Exp _GovDepts, P. 69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  - Rev &amp; Exp for National GovDepts, pp 7 &amp; 71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69.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bud: Vol 2, Part 1, Summary - Statutory, p.7 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 Bud: 2010 bud: Vol 2, Part 3, Summary - Statutory, p.7  &amp; Sum Statutory 503 , P. 991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 Bud: Vol 2, Part 1.a _part 3, Summary - Statutory, p.7 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Part 1a, p. 55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Part 1a, Rev &amp; Exp _GovDepts, p. 79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 a, Rev  &amp; Exp for Nat Gov Dep, P. 73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Budg: Vol 2a - Rev &amp; Exp _GovDepts, P. 62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Budg: Vol 2a - Rev &amp; Exp _GovDepts, P. 69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 2018 Bud, Vol 2a, p. 71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69.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V2P1a, p. 79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2a, p 71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2008 Budget Summary_NatDept, p. 3/257 - 228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2009 Budget: Vol 2 part 1,3, exp- details.National Depts, 228 &amp; summary p.3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Budget: vol 2, P1_recdev_deptsum.2010, p, 4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budget:  Vol 2 P3 , Sec A.Nati.Gov.Dept.20111, p 4 &amp; p 437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Budget: Vol2, P1.a_rec.bud.est_P3summary.approp, p. 4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P1a , p. 54 - budget summary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Husnia Hushang:
</t>
        </r>
        <r>
          <rPr>
            <sz val="9"/>
            <color indexed="81"/>
            <rFont val="Tahoma"/>
            <family val="2"/>
          </rPr>
          <t>2014 bud: Vol 2, P1a</t>
        </r>
        <r>
          <rPr>
            <b/>
            <sz val="9"/>
            <color indexed="81"/>
            <rFont val="Tahoma"/>
            <family val="2"/>
          </rPr>
          <t>_</t>
        </r>
        <r>
          <rPr>
            <sz val="9"/>
            <color indexed="81"/>
            <rFont val="Tahoma"/>
            <family val="2"/>
          </rPr>
          <t>Est of rev &amp; exp for Nati Gov Dept, p. 75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2, P1a_Est of Rev &amp; Exp for Nati Gov Dept, p. 68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2a_ Rev &amp; Exp for GovDept,  p. 58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2a_ Rev &amp; Exp _Nat Gov Dept,  p. 64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2a- Rev &amp; Exp for National GovDepts, p. 66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Budget: vol 2, part 1_rec_dept 228 , p, 389 &amp; 2010 Budget: vol 2, P1_recdev_deptsum.2010, p, 4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budget:  Vol 2 P3 , Sec A. Nati.Gov.Dept.20111, p 4 &amp; p 437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Budget: Vol2, P1.a_rec.bud.est_P3summary.approp, p. 4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P1a , p. 54 - budget summary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P1a_Est of rev &amp; exp for Nati Gov Dept, p. 75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2, P1a_Est of Rev &amp; Exp for Nati Gov Dept, p. 68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2a_ Rev &amp; Exp for GovDept,  p. 58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2a_ Rev &amp; Exp _Nat Gov Dept,  p. 64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2a, p. 66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Bud, Vol 2a, p. 66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2008 Bud: P3, section_a.summary.228, p.256 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2009 Bud: Vol2, P1.3, details NatDept 228, P. 358 &amp;382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Bud: Vol2, P1, rec_dept_228, p. 390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Bud: Vol2, Pt3,sec a,  p. 436 &amp; 460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Bud: Vol2, P1.a _ rec.bud.esti_part , p. 440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Bud, Vol 2, P1a, rec_bud_esti_rev &amp; exp, P. 551 &amp; 581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 P1b, est_rev &amp; exp for nat Gov_dept,  p 2 &amp; 35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2b, rev &amp; exp for nat Gov_dept,  p 1 &amp; 34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2b, rev &amp; exp_ Gov_depts,  p.1&amp; 36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2b, rev &amp; exp_ Nat_Gov_depts,  p. 1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 - Rev &amp; Exp for National GovDepts, p.1. 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2b, Rev &amp; Exp for National GovDepts, Page 33.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Bud: Vol2, P1, rec_dept_228, p. 390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Bud: Vol2, Pt3, Sec a, p. 436 &amp; 460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Bud: Vol2, P1.a _ rec.bud.esti_part , p. 440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Bud, Vol 2, P1a, rec_bud_esti_rev &amp; exp, P. 551 &amp; 581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 P1b, est_rev &amp; exp for nat Gov_dept,  p 2 &amp; 35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2b, rev &amp; exp for nat Gov_dept,  p 1 &amp; 34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2b, rev &amp; exp_ Gov_depts,  p.1&amp; 36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2b, rev &amp; exp_ Nat_Gov_depts,  p. 1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 - Rev &amp; Exp _for National GovDepts, p,1. 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2b, Rev &amp; Exp for National GovDepts, Page 33.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 xml:space="preserve">Husnia Hushang:          </t>
        </r>
        <r>
          <rPr>
            <sz val="9"/>
            <color indexed="81"/>
            <rFont val="Tahoma"/>
            <family val="2"/>
          </rPr>
          <t>Taskforce Sweep is called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Tahoma"/>
            <family val="2"/>
          </rPr>
          <t xml:space="preserve">National Anti-Corruption Strategy Taskforce' in the PNG budget. 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Not reported in the 2011 budget</t>
        </r>
      </text>
    </comment>
    <comment ref="I19" authorId="1" shapeId="0">
      <text>
        <r>
          <rPr>
            <b/>
            <sz val="9"/>
            <color indexed="81"/>
            <rFont val="Tahoma"/>
            <family val="2"/>
          </rPr>
          <t>Grant Walton:</t>
        </r>
        <r>
          <rPr>
            <sz val="9"/>
            <color indexed="81"/>
            <rFont val="Tahoma"/>
            <family val="2"/>
          </rPr>
          <t xml:space="preserve">
2013 Budget, Vol 2, Part 1a, p. 157. ICAC Establishment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P1a, p 155 &amp;160
recieved less 6million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P1a_Est of rev &amp; exp for Nati Gov Dept, p. 188
Money allocated to Taskforce Sweep last year never arrived and the agency has been surviving on the $2.6 million it received in 2013. 7 mil ear marked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 a, Rev  &amp; Exp for Nat Gov Dep, p. 185 &amp;190
' budget cut from $9.2 million to $2.3 million for 2015'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 data is not available in the 2016 budget document, Vol 2a_ Rev &amp; Exp for GovDep, p. 174 &amp; 178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2a, Rev &amp; Exp _Nat Gov_Dept p. 186 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 - Rev &amp; Exp _for National GovDepts, p. 189.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201.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Sam Koim, interview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Sam Koim, interview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Actual spending data is not available in the 2016 budget document. According Sam Koim, interview it is zero.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Actual spending data is not available in the 2017 budget document.  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Actual spending data is not available in the 2018 budget document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Actual spending data is not available in the 2019 budget document.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2008 budget: Summary_natdept, p. 3 &amp;  No. 502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2009 Budget: Vol 2 P1.3 Statutory, p. 7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 2010 bud: Vol 2, Part 1, recdev_csasum- Summary - Statutory, p.7  
502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 Bud: Vol 2, Part 3, details. Summary - Statutory, p.7  &amp; Sum 502. p 987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Part 1a, p. 55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Part 1a,Rev &amp; Exp _GovDepts, p. 79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 a, Rev  &amp; Exp for Nat Gov Dep, P. 73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Budg: Vol 2a - Rev &amp; Exp _GovDepts, P. 62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Budg: Vol 2a - Rev &amp; Exp _GovDepts, P. 69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 - Rev &amp; Exp for National GovDepts, pp. 71 &amp; 7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69.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 2010 bud: Vol 2, Part 1, recdev_csasum- Summary - Statutory, p.7  
502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 Bud: Vol 2, Part 3, details. Summary - Statutory, p.7  &amp; Sum 502. p 987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Sum Statutory, p. 933
502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Part 1a, p. 55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Part 1a,Rev &amp; Exp _GovDepts, p. 79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 a, Rev  &amp; Exp for Nat Gov Dep, P. 73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Budg: Vol 2a - Rev &amp; Exp _GovDepts, P. 62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Budg: Vol 2a - Rev &amp; Exp _GovDepts, P. 69 &amp; p. 5 V2d 2017 bud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Bud, Vol 2a, p. 71 &amp; 2016 FBO, Commercial &amp; Statutory Authorities, p. 68 &amp; 43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69.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Budg: Vol 2a - Rev &amp; Exp for National GovDepts, - p. 71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69.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2008 Budget Summary_NatDept, p. 3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2009 Budget: Vol 2 part 1,3, exp- details.National Depts, &amp; summary p.3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Budget: vol 2, P1_recdev_deptsum.2010, p, 3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budget:  Vol 2 P3 , Sec A.Nati.Gov.Dept.20111, p 3  &amp; p 437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Budget: Vol2, P1.a_rec.bud.est_P3summary.approp, p. 4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P1a , p. 54 - budget summary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P1a_Est of rev &amp; exp for Nati Gov Dept, p. 75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2, P1a_Est of Rev &amp; Exp for Nati Gov Dept, p. 68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2a_ Rev &amp; Exp for GovDept,  p. 58 &amp; V 2a, p. 402 Appr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2a_ Rev &amp; Exp _Nat Gov Dept,  p. 64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2a, p. 66
including 40 million from donor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                  PNG gov 105 &amp; Donor 57.4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2010 Budget: vol 2, P1_recdev_deptsum.2010, p, 3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budget:  Vol 2 P3 , Sec A.Nati.Gov.Dept.20111, p 3 &amp; p 437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Budget: Vol2, P1.a_rec.bud.est_P3summary.approp, p. 4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Bud: Vol 2, P1a , p. 54 - budget summary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2, P1a_Est of rev &amp; exp for Nati Gov Dept, p. 75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 2, P1a_Est of Rev &amp; Exp for Nati Gov Dept, p. 68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2a_ Rev &amp; Exp for GovDept,  p. 58 &amp; V 2a, p. 402 Appr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 2a_ Rev &amp; Exp _Nat Gov Dept,  p. 64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2a, p. 66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2a, p. 66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64.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Vol2, P1b, est_rev &amp; exp for NatGovDepts, p. 3 &amp; 76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Vol2, P1b, est_rev &amp; exp for NatGovDepts, p. 2 &amp; 74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Vol2b, est_rev &amp; exp for NatGovDepts, p. 2&amp; 76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Vol2b, est_rev &amp; exp for NatGovDepts, p. 3 &amp; 76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2b, p.2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2b, Rev &amp; Exp for National GovDepts, Page 73.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Vol2b, est_rev &amp; exp for NatGovDepts, p. 2&amp; 76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 Vol2b, est_rev &amp; exp for NatGovDepts, p. 3 &amp; 76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2b, p.2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2b, Rev &amp; Exp for National GovDepts, Page 73.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bud:Vol 2a, p.185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bud:Vol 2a - Rev &amp; Exp for National GovDepts, p.188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200.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bud:Vol 2a - Rev &amp; Exp for National GovDepts, p.188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Budget: Vol. 2a, Rev &amp; Exp for National GovDepts, Page 200.</t>
        </r>
      </text>
    </comment>
    <comment ref="O8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Budget: Vol1, p. 3.</t>
        </r>
      </text>
    </comment>
    <comment ref="P8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1, page 6.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bud, p.175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bud, p. 175</t>
        </r>
      </text>
    </comment>
    <comment ref="G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bud, p. 34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bud, p. 39</t>
        </r>
      </text>
    </comment>
    <comment ref="I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bud, p. 28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bud, p. 28</t>
        </r>
      </text>
    </comment>
    <comment ref="K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 2016. p. 26</t>
        </r>
      </text>
    </comment>
    <comment ref="L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bud, p. 15</t>
        </r>
      </text>
    </comment>
    <comment ref="M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FBO, Expenditure And Net Lending ,p 13, 
&amp; 2018 Bud:Vol 1, p. 28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1, page 6 &amp; 7.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2. part1 b, p. 1. </t>
        </r>
      </text>
    </comment>
    <comment ref="K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2. part1 b, p. 1. </t>
        </r>
      </text>
    </comment>
    <comment ref="L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2b, p. 1.</t>
        </r>
      </text>
    </comment>
    <comment ref="M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2b, p. 1.</t>
        </r>
      </text>
    </comment>
    <comment ref="O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2b, p.1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2b, page 1 &amp; 23.
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Bud: Vol 2. part1 b, p. 1. 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Bud: Vol2b, p. 1.</t>
        </r>
      </text>
    </comment>
    <comment ref="K10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2016 bud: Vol 2b, p. 1.
</t>
        </r>
      </text>
    </comment>
    <comment ref="M10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2b, p.1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2b, page 1 &amp; 23.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P11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O1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P119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O1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O1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P121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O1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P122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Budgeted</t>
        </r>
      </text>
    </comment>
    <comment ref="E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bud, p.175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2011 bud, p. 175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2012 bud, p. 34</t>
        </r>
      </text>
    </comment>
    <comment ref="H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2013 bud, p. 39</t>
        </r>
      </text>
    </comment>
    <comment ref="I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2014 bud, p. 28</t>
        </r>
      </text>
    </comment>
    <comment ref="J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2015 bud, p. 28</t>
        </r>
      </text>
    </comment>
    <comment ref="K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Bud 2016. p. 26</t>
        </r>
      </text>
    </comment>
    <comment ref="L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2017 bud, p. 15</t>
        </r>
      </text>
    </comment>
    <comment ref="M133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Actual from 2016 FBO</t>
        </r>
      </text>
    </comment>
    <comment ref="M13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1, p. 142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1. page 179.  
</t>
        </r>
      </text>
    </comment>
    <comment ref="O13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1. page 179.  </t>
        </r>
      </text>
    </comment>
    <comment ref="P137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1. page 179.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1. page 179.</t>
        </r>
      </text>
    </comment>
    <comment ref="O13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2018 Bud: Vol 1, p. 142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Husnia Hushang:</t>
        </r>
        <r>
          <rPr>
            <sz val="9"/>
            <color indexed="81"/>
            <rFont val="Tahoma"/>
            <family val="2"/>
          </rPr>
          <t xml:space="preserve">
2019 Bud: Vol 1. page 179.</t>
        </r>
      </text>
    </comment>
  </commentList>
</comments>
</file>

<file path=xl/sharedStrings.xml><?xml version="1.0" encoding="utf-8"?>
<sst xmlns="http://schemas.openxmlformats.org/spreadsheetml/2006/main" count="134" uniqueCount="80">
  <si>
    <t>Ombudsman Commission</t>
  </si>
  <si>
    <t>Years</t>
  </si>
  <si>
    <t>Budgeted</t>
  </si>
  <si>
    <t>Actual</t>
  </si>
  <si>
    <t>Attorney General</t>
  </si>
  <si>
    <t>AC Actual(solid)/Budgeted (dashed)</t>
  </si>
  <si>
    <t>RPNGC Budgeted</t>
  </si>
  <si>
    <t>RPNGC Actual</t>
  </si>
  <si>
    <t>Deflator</t>
  </si>
  <si>
    <t>TOTAL BUDGET (nominal)</t>
  </si>
  <si>
    <t>Control of Corruption (right hand)</t>
  </si>
  <si>
    <t>Corruption Perceptions score (left hand)</t>
  </si>
  <si>
    <t>Total budget</t>
  </si>
  <si>
    <t>Anti-corruption</t>
  </si>
  <si>
    <t>Actual vs Budgeted</t>
  </si>
  <si>
    <t xml:space="preserve">Anti-corruption Spending as Proportion of National Budget minus provincial expenses </t>
  </si>
  <si>
    <t>Total</t>
  </si>
  <si>
    <t>https://devpolicy.crawford.anu.edu.au/png-project/png-budget-database</t>
  </si>
  <si>
    <t>CPI Deflator value</t>
  </si>
  <si>
    <t>Comments</t>
  </si>
  <si>
    <t>For all spending and budget figures see http://www.treasury.gov.pg/</t>
  </si>
  <si>
    <t>PNG's Spending on Anti-corruption (Million Kina)</t>
  </si>
  <si>
    <t>Control of Corruption vs Corruption Perceptions</t>
  </si>
  <si>
    <t>Ombudsman Commission Actual</t>
  </si>
  <si>
    <t>Auditor General Actual</t>
  </si>
  <si>
    <t>Actual Funding for 5 AC Organisations</t>
  </si>
  <si>
    <t>Anti-corruption Spending as Proportion of National Budget Minus Provincial Expenses (PROVINCIAL GOVERNMENTS + BOUGAINVILLE)</t>
  </si>
  <si>
    <t>TOTAL BUDGET (Nominal) Minus Provincial Government Expenses</t>
  </si>
  <si>
    <t>Provincial Govts expenses</t>
  </si>
  <si>
    <t>Bougainville</t>
  </si>
  <si>
    <t>https://www.imf.org/external/pubs/ft/weo/2016/01/weodata/weorept.aspx?sy=1980&amp;ey=2021&amp;scsm=1&amp;ssd=1&amp;sort=country&amp;ds=.&amp;br=1&amp;pr1.x=39&amp;pr1.y=10&amp;c=853&amp;s=PCPI%2CPCPIPCH%2CPCPIE%2CPCPIEPCH&amp;grp=0&amp;a=</t>
  </si>
  <si>
    <t xml:space="preserve">Ombudsman Commission (budgeted ) </t>
  </si>
  <si>
    <t>Ombudsman Commission (actual spending)</t>
  </si>
  <si>
    <t>Ombudsman Commission (revised budget)</t>
  </si>
  <si>
    <t>RPNGC/ Police (actual spending)</t>
  </si>
  <si>
    <t>RPNGC/ Police (revised budget)</t>
  </si>
  <si>
    <t>National Fraud and Corruption/ Fraud Squad  (budgeted)</t>
  </si>
  <si>
    <r>
      <t>National Fraud and Corruption/ Fraud Squad (a</t>
    </r>
    <r>
      <rPr>
        <sz val="11"/>
        <rFont val="Arial"/>
        <family val="2"/>
      </rPr>
      <t>ctual spending)</t>
    </r>
  </si>
  <si>
    <t>Auditor-General  (actual spending)</t>
  </si>
  <si>
    <t>Auditor-General (revised budget)</t>
  </si>
  <si>
    <t>Attorney General (budgeted)</t>
  </si>
  <si>
    <t>Attorney General (actual spending)</t>
  </si>
  <si>
    <t>Attorney General (revised budget)</t>
  </si>
  <si>
    <t xml:space="preserve">Auditor-General </t>
  </si>
  <si>
    <t>Police /RPNGC</t>
  </si>
  <si>
    <t>Provincial Governments + Bougainville Expenses</t>
  </si>
  <si>
    <t xml:space="preserve">Auditor-General (budgeted) </t>
  </si>
  <si>
    <t>Also referred to as: Financial Analysis and Supervision Unit</t>
  </si>
  <si>
    <t>Extractive Industries Transparency Initiative (Budgeted)</t>
  </si>
  <si>
    <t>Extractive Industries Transparency Initiative (Actual)</t>
  </si>
  <si>
    <t>2013, 2014, 2015 &amp; 2016 budgets are not provided, only 2016 actual spending is provided in 2018 budget. 2017 budget is the first budget that has a budget line for EITI.</t>
  </si>
  <si>
    <t>NA</t>
  </si>
  <si>
    <t>Real 2018 prices</t>
  </si>
  <si>
    <t xml:space="preserve">Anti-corruption Spending as Proportion of Budget </t>
  </si>
  <si>
    <t>TOTAL Budget 2018</t>
  </si>
  <si>
    <t>Deflator value for 2018 price calc</t>
  </si>
  <si>
    <t xml:space="preserve">Police Band (actual) </t>
  </si>
  <si>
    <t xml:space="preserve">Taskforce Sweep &amp; ICAC Actual </t>
  </si>
  <si>
    <t>Taskforce Sweep &amp; ICAC</t>
  </si>
  <si>
    <t>Taskforce Sweep &amp; ICAC (budgeted)</t>
  </si>
  <si>
    <t>Taskforce Sweep &amp; ICAC (actual spending)</t>
  </si>
  <si>
    <t>All Nominal Prices in this Table</t>
  </si>
  <si>
    <t>Only appropriation is provided for 2017, 2018  and 2019 in 2018 and 2019 budgets.</t>
  </si>
  <si>
    <t>https://www.abc.net.au/news/2015-02-04/png-anti-corruption-taskforce-starved-of-funding/6070170</t>
  </si>
  <si>
    <t>OC/Fraud Squad/Auditor Gen/ Taskforce Sweep &amp; ICAC/FIU/EITI</t>
  </si>
  <si>
    <t>National Fraud and Corruption/ Fraud Squad</t>
  </si>
  <si>
    <t>OC/Fraud Squad/Auditor Gen/ Taskforce Sweep &amp; ICAC/FIU</t>
  </si>
  <si>
    <t>Extractive Industries Transparency Initiative (EITI)</t>
  </si>
  <si>
    <t>Fraud and Corruption Actual/Fraud Squad</t>
  </si>
  <si>
    <t>By Dr Grant Walton and Husnia Hushang</t>
  </si>
  <si>
    <t>RPNGC/ Police (budgeted)</t>
  </si>
  <si>
    <t>Financial Intelligence Unit (FIU)/FASU (budgeted)</t>
  </si>
  <si>
    <t>Financial Intelligence Unit (FIU)/FASU (actual spending)</t>
  </si>
  <si>
    <t>Financial Intelligence Unit (FIU)/FASU</t>
  </si>
  <si>
    <t>Last 2 years are budgeted figures (in red); others spending</t>
  </si>
  <si>
    <t>Spreadsheet updated: 28 Nov, 2018</t>
  </si>
  <si>
    <t>2018-2019 % change</t>
  </si>
  <si>
    <t>% change 2018-19</t>
  </si>
  <si>
    <t>World Bank WGI : Updated 20 Nov 2018: ttp://info.worldbank.org/governance/wgi/index.aspx#reports</t>
  </si>
  <si>
    <t xml:space="preserve">See: Fox, R 2017, PNG Budget Database,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</si>
</sst>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%"/>
    <numFmt numFmtId="165" formatCode="0.00;[Red]0.00"/>
    <numFmt numFmtId="166" formatCode="#,##0.0"/>
    <numFmt numFmtId="167" formatCode="0.0"/>
    <numFmt numFmtId="168" formatCode="#,##0.000"/>
    <numFmt numFmtId="169" formatCode="0.00000"/>
    <numFmt numFmtId="170" formatCode="#,##0.0000000000000"/>
    <numFmt numFmtId="171" formatCode="#,##0.00000000000000"/>
    <numFmt numFmtId="172" formatCode="#,##0.00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 Light"/>
      <family val="2"/>
    </font>
    <font>
      <b/>
      <sz val="11"/>
      <name val="Calibri Light"/>
      <family val="2"/>
    </font>
    <font>
      <sz val="11"/>
      <name val="Arial"/>
      <family val="2"/>
    </font>
    <font>
      <b/>
      <i/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Helvetica Neue"/>
    </font>
    <font>
      <b/>
      <sz val="11"/>
      <name val="Helvetica Neue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name val="Helvetica Neue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0CFD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3D8A"/>
        <bgColor indexed="64"/>
      </patternFill>
    </fill>
    <fill>
      <patternFill patternType="solid">
        <fgColor rgb="FFA2F73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wrapText="1"/>
    </xf>
    <xf numFmtId="0" fontId="1" fillId="0" borderId="0" xfId="0" applyFont="1" applyFill="1" applyBorder="1"/>
    <xf numFmtId="0" fontId="0" fillId="0" borderId="0" xfId="0" applyFill="1"/>
    <xf numFmtId="4" fontId="1" fillId="0" borderId="0" xfId="0" applyNumberFormat="1" applyFont="1"/>
    <xf numFmtId="0" fontId="4" fillId="0" borderId="0" xfId="0" applyFont="1"/>
    <xf numFmtId="4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4" fontId="1" fillId="0" borderId="0" xfId="0" applyNumberFormat="1" applyFont="1" applyFill="1"/>
    <xf numFmtId="0" fontId="0" fillId="0" borderId="0" xfId="0" applyFont="1"/>
    <xf numFmtId="0" fontId="0" fillId="0" borderId="0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0" borderId="0" xfId="0" applyFont="1" applyFill="1"/>
    <xf numFmtId="0" fontId="1" fillId="7" borderId="1" xfId="0" applyFont="1" applyFill="1" applyBorder="1"/>
    <xf numFmtId="0" fontId="1" fillId="8" borderId="1" xfId="0" applyFont="1" applyFill="1" applyBorder="1"/>
    <xf numFmtId="0" fontId="1" fillId="6" borderId="1" xfId="0" applyFont="1" applyFill="1" applyBorder="1"/>
    <xf numFmtId="0" fontId="0" fillId="0" borderId="0" xfId="0" applyFill="1" applyBorder="1"/>
    <xf numFmtId="0" fontId="1" fillId="10" borderId="1" xfId="0" applyFont="1" applyFill="1" applyBorder="1"/>
    <xf numFmtId="0" fontId="1" fillId="9" borderId="1" xfId="0" applyFont="1" applyFill="1" applyBorder="1"/>
    <xf numFmtId="0" fontId="1" fillId="0" borderId="0" xfId="0" applyFont="1" applyAlignment="1"/>
    <xf numFmtId="3" fontId="0" fillId="0" borderId="0" xfId="0" applyNumberFormat="1" applyFill="1" applyBorder="1"/>
    <xf numFmtId="0" fontId="1" fillId="2" borderId="1" xfId="0" applyFont="1" applyFill="1" applyBorder="1"/>
    <xf numFmtId="0" fontId="0" fillId="2" borderId="1" xfId="0" applyFont="1" applyFill="1" applyBorder="1"/>
    <xf numFmtId="164" fontId="0" fillId="0" borderId="0" xfId="2" applyNumberFormat="1" applyFont="1" applyFill="1" applyBorder="1"/>
    <xf numFmtId="3" fontId="4" fillId="0" borderId="0" xfId="0" applyNumberFormat="1" applyFont="1" applyFill="1" applyBorder="1"/>
    <xf numFmtId="167" fontId="0" fillId="9" borderId="1" xfId="2" applyNumberFormat="1" applyFont="1" applyFill="1" applyBorder="1"/>
    <xf numFmtId="164" fontId="0" fillId="9" borderId="1" xfId="2" applyNumberFormat="1" applyFont="1" applyFill="1" applyBorder="1"/>
    <xf numFmtId="0" fontId="11" fillId="0" borderId="0" xfId="0" applyFont="1"/>
    <xf numFmtId="0" fontId="1" fillId="11" borderId="1" xfId="0" applyFont="1" applyFill="1" applyBorder="1"/>
    <xf numFmtId="0" fontId="1" fillId="12" borderId="1" xfId="0" applyFont="1" applyFill="1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/>
    <xf numFmtId="9" fontId="4" fillId="8" borderId="1" xfId="0" applyNumberFormat="1" applyFont="1" applyFill="1" applyBorder="1"/>
    <xf numFmtId="9" fontId="4" fillId="8" borderId="1" xfId="2" applyFont="1" applyFill="1" applyBorder="1"/>
    <xf numFmtId="0" fontId="12" fillId="8" borderId="1" xfId="0" applyFont="1" applyFill="1" applyBorder="1"/>
    <xf numFmtId="0" fontId="4" fillId="0" borderId="0" xfId="0" applyFont="1" applyFill="1"/>
    <xf numFmtId="4" fontId="14" fillId="0" borderId="0" xfId="0" applyNumberFormat="1" applyFont="1"/>
    <xf numFmtId="4" fontId="0" fillId="0" borderId="0" xfId="0" applyNumberFormat="1" applyFill="1" applyBorder="1"/>
    <xf numFmtId="0" fontId="15" fillId="0" borderId="0" xfId="0" applyFont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14" borderId="1" xfId="0" applyFont="1" applyFill="1" applyBorder="1"/>
    <xf numFmtId="0" fontId="16" fillId="0" borderId="0" xfId="0" applyFont="1"/>
    <xf numFmtId="9" fontId="12" fillId="8" borderId="1" xfId="0" applyNumberFormat="1" applyFont="1" applyFill="1" applyBorder="1"/>
    <xf numFmtId="9" fontId="12" fillId="8" borderId="1" xfId="2" applyFont="1" applyFill="1" applyBorder="1"/>
    <xf numFmtId="9" fontId="12" fillId="8" borderId="2" xfId="2" applyFont="1" applyFill="1" applyBorder="1"/>
    <xf numFmtId="0" fontId="18" fillId="0" borderId="0" xfId="0" applyFont="1"/>
    <xf numFmtId="0" fontId="1" fillId="0" borderId="0" xfId="0" applyFont="1" applyAlignment="1">
      <alignment wrapText="1"/>
    </xf>
    <xf numFmtId="0" fontId="13" fillId="0" borderId="0" xfId="0" applyFont="1" applyFill="1" applyBorder="1"/>
    <xf numFmtId="164" fontId="1" fillId="0" borderId="0" xfId="2" applyNumberFormat="1" applyFont="1" applyFill="1" applyBorder="1"/>
    <xf numFmtId="0" fontId="0" fillId="4" borderId="1" xfId="0" applyFont="1" applyFill="1" applyBorder="1" applyAlignment="1"/>
    <xf numFmtId="0" fontId="0" fillId="4" borderId="1" xfId="0" applyFont="1" applyFill="1" applyBorder="1"/>
    <xf numFmtId="166" fontId="4" fillId="5" borderId="1" xfId="0" applyNumberFormat="1" applyFont="1" applyFill="1" applyBorder="1"/>
    <xf numFmtId="166" fontId="4" fillId="4" borderId="1" xfId="0" applyNumberFormat="1" applyFont="1" applyFill="1" applyBorder="1"/>
    <xf numFmtId="166" fontId="12" fillId="4" borderId="1" xfId="0" applyNumberFormat="1" applyFont="1" applyFill="1" applyBorder="1"/>
    <xf numFmtId="0" fontId="1" fillId="0" borderId="0" xfId="0" applyFont="1" applyFill="1" applyAlignment="1"/>
    <xf numFmtId="0" fontId="0" fillId="3" borderId="1" xfId="0" applyFont="1" applyFill="1" applyBorder="1"/>
    <xf numFmtId="0" fontId="0" fillId="8" borderId="1" xfId="0" applyFont="1" applyFill="1" applyBorder="1" applyAlignment="1"/>
    <xf numFmtId="0" fontId="0" fillId="6" borderId="1" xfId="0" applyFont="1" applyFill="1" applyBorder="1" applyAlignment="1"/>
    <xf numFmtId="0" fontId="13" fillId="0" borderId="0" xfId="0" applyFont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4" fontId="0" fillId="6" borderId="0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3" fontId="0" fillId="6" borderId="0" xfId="0" applyNumberFormat="1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4" borderId="0" xfId="0" applyFont="1" applyFill="1" applyBorder="1" applyAlignment="1">
      <alignment wrapText="1"/>
    </xf>
    <xf numFmtId="3" fontId="0" fillId="4" borderId="0" xfId="0" applyNumberFormat="1" applyFont="1" applyFill="1" applyBorder="1" applyAlignment="1">
      <alignment wrapText="1"/>
    </xf>
    <xf numFmtId="0" fontId="12" fillId="8" borderId="0" xfId="0" applyFont="1" applyFill="1" applyBorder="1" applyAlignment="1">
      <alignment wrapText="1"/>
    </xf>
    <xf numFmtId="0" fontId="12" fillId="11" borderId="0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2" fillId="5" borderId="0" xfId="0" applyFont="1" applyFill="1" applyBorder="1" applyAlignment="1">
      <alignment wrapText="1"/>
    </xf>
    <xf numFmtId="0" fontId="12" fillId="12" borderId="0" xfId="0" applyFont="1" applyFill="1" applyBorder="1" applyAlignment="1">
      <alignment wrapText="1"/>
    </xf>
    <xf numFmtId="0" fontId="20" fillId="12" borderId="0" xfId="0" applyFont="1" applyFill="1" applyBorder="1" applyAlignment="1">
      <alignment vertical="center" wrapText="1"/>
    </xf>
    <xf numFmtId="0" fontId="0" fillId="12" borderId="0" xfId="0" applyFont="1" applyFill="1" applyBorder="1"/>
    <xf numFmtId="3" fontId="0" fillId="0" borderId="0" xfId="0" applyNumberFormat="1" applyFont="1"/>
    <xf numFmtId="4" fontId="0" fillId="0" borderId="0" xfId="0" applyNumberFormat="1" applyFont="1"/>
    <xf numFmtId="0" fontId="0" fillId="6" borderId="1" xfId="0" applyFont="1" applyFill="1" applyBorder="1"/>
    <xf numFmtId="166" fontId="0" fillId="6" borderId="1" xfId="0" applyNumberFormat="1" applyFont="1" applyFill="1" applyBorder="1"/>
    <xf numFmtId="0" fontId="0" fillId="8" borderId="1" xfId="0" applyFont="1" applyFill="1" applyBorder="1"/>
    <xf numFmtId="4" fontId="0" fillId="8" borderId="1" xfId="0" applyNumberFormat="1" applyFont="1" applyFill="1" applyBorder="1"/>
    <xf numFmtId="0" fontId="0" fillId="0" borderId="0" xfId="0" applyFont="1" applyFill="1"/>
    <xf numFmtId="0" fontId="0" fillId="0" borderId="0" xfId="0" applyFont="1" applyFill="1" applyAlignment="1"/>
    <xf numFmtId="4" fontId="0" fillId="0" borderId="0" xfId="0" applyNumberFormat="1" applyFont="1" applyFill="1"/>
    <xf numFmtId="165" fontId="0" fillId="0" borderId="0" xfId="0" applyNumberFormat="1" applyFont="1" applyAlignment="1">
      <alignment horizontal="left"/>
    </xf>
    <xf numFmtId="0" fontId="0" fillId="7" borderId="1" xfId="0" applyFont="1" applyFill="1" applyBorder="1"/>
    <xf numFmtId="166" fontId="0" fillId="7" borderId="1" xfId="0" applyNumberFormat="1" applyFont="1" applyFill="1" applyBorder="1"/>
    <xf numFmtId="0" fontId="0" fillId="0" borderId="0" xfId="0" applyFont="1" applyFill="1" applyBorder="1" applyAlignment="1">
      <alignment horizontal="center" wrapText="1"/>
    </xf>
    <xf numFmtId="0" fontId="0" fillId="5" borderId="1" xfId="0" applyFont="1" applyFill="1" applyBorder="1"/>
    <xf numFmtId="166" fontId="0" fillId="5" borderId="1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66" fontId="0" fillId="4" borderId="1" xfId="0" applyNumberFormat="1" applyFont="1" applyFill="1" applyBorder="1"/>
    <xf numFmtId="0" fontId="0" fillId="11" borderId="1" xfId="0" applyFont="1" applyFill="1" applyBorder="1"/>
    <xf numFmtId="166" fontId="0" fillId="11" borderId="1" xfId="0" applyNumberFormat="1" applyFont="1" applyFill="1" applyBorder="1"/>
    <xf numFmtId="0" fontId="0" fillId="12" borderId="1" xfId="0" applyFont="1" applyFill="1" applyBorder="1"/>
    <xf numFmtId="3" fontId="0" fillId="12" borderId="1" xfId="0" applyNumberFormat="1" applyFont="1" applyFill="1" applyBorder="1"/>
    <xf numFmtId="4" fontId="0" fillId="12" borderId="1" xfId="0" applyNumberFormat="1" applyFont="1" applyFill="1" applyBorder="1"/>
    <xf numFmtId="4" fontId="0" fillId="0" borderId="0" xfId="0" applyNumberFormat="1" applyFont="1" applyFill="1" applyBorder="1"/>
    <xf numFmtId="0" fontId="21" fillId="0" borderId="0" xfId="0" applyFont="1" applyFill="1"/>
    <xf numFmtId="0" fontId="0" fillId="9" borderId="1" xfId="0" applyFont="1" applyFill="1" applyBorder="1"/>
    <xf numFmtId="0" fontId="0" fillId="0" borderId="0" xfId="0" applyFont="1" applyAlignment="1"/>
    <xf numFmtId="0" fontId="0" fillId="10" borderId="1" xfId="0" applyFont="1" applyFill="1" applyBorder="1"/>
    <xf numFmtId="164" fontId="0" fillId="0" borderId="0" xfId="0" applyNumberFormat="1" applyFont="1" applyFill="1" applyBorder="1"/>
    <xf numFmtId="0" fontId="0" fillId="9" borderId="1" xfId="0" applyFont="1" applyFill="1" applyBorder="1" applyAlignment="1"/>
    <xf numFmtId="167" fontId="0" fillId="9" borderId="1" xfId="0" applyNumberFormat="1" applyFont="1" applyFill="1" applyBorder="1"/>
    <xf numFmtId="164" fontId="0" fillId="9" borderId="1" xfId="0" applyNumberFormat="1" applyFont="1" applyFill="1" applyBorder="1"/>
    <xf numFmtId="167" fontId="0" fillId="11" borderId="1" xfId="0" applyNumberFormat="1" applyFont="1" applyFill="1" applyBorder="1"/>
    <xf numFmtId="0" fontId="0" fillId="0" borderId="0" xfId="0" applyFont="1" applyBorder="1"/>
    <xf numFmtId="167" fontId="0" fillId="0" borderId="0" xfId="0" applyNumberFormat="1" applyFont="1" applyFill="1" applyBorder="1"/>
    <xf numFmtId="0" fontId="0" fillId="14" borderId="1" xfId="0" applyFont="1" applyFill="1" applyBorder="1"/>
    <xf numFmtId="164" fontId="0" fillId="14" borderId="1" xfId="2" applyNumberFormat="1" applyFont="1" applyFill="1" applyBorder="1"/>
    <xf numFmtId="166" fontId="0" fillId="9" borderId="1" xfId="0" applyNumberFormat="1" applyFont="1" applyFill="1" applyBorder="1"/>
    <xf numFmtId="166" fontId="22" fillId="0" borderId="0" xfId="0" applyNumberFormat="1" applyFont="1" applyFill="1" applyBorder="1" applyAlignment="1">
      <alignment horizontal="right" wrapText="1"/>
    </xf>
    <xf numFmtId="0" fontId="13" fillId="13" borderId="1" xfId="0" applyFont="1" applyFill="1" applyBorder="1"/>
    <xf numFmtId="3" fontId="12" fillId="13" borderId="1" xfId="0" applyNumberFormat="1" applyFont="1" applyFill="1" applyBorder="1"/>
    <xf numFmtId="0" fontId="3" fillId="0" borderId="0" xfId="1" applyFont="1"/>
    <xf numFmtId="4" fontId="12" fillId="13" borderId="1" xfId="0" applyNumberFormat="1" applyFont="1" applyFill="1" applyBorder="1"/>
    <xf numFmtId="4" fontId="0" fillId="9" borderId="1" xfId="0" applyNumberFormat="1" applyFont="1" applyFill="1" applyBorder="1"/>
    <xf numFmtId="0" fontId="13" fillId="0" borderId="0" xfId="0" applyFont="1"/>
    <xf numFmtId="0" fontId="0" fillId="6" borderId="0" xfId="0" applyFill="1" applyBorder="1" applyAlignment="1">
      <alignment wrapText="1"/>
    </xf>
    <xf numFmtId="166" fontId="0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/>
    <xf numFmtId="4" fontId="23" fillId="0" borderId="0" xfId="0" applyNumberFormat="1" applyFont="1" applyFill="1"/>
    <xf numFmtId="4" fontId="0" fillId="0" borderId="0" xfId="0" applyNumberFormat="1" applyFill="1"/>
    <xf numFmtId="0" fontId="3" fillId="0" borderId="0" xfId="1" applyFill="1"/>
    <xf numFmtId="0" fontId="2" fillId="0" borderId="0" xfId="0" applyFont="1" applyFill="1"/>
    <xf numFmtId="0" fontId="0" fillId="2" borderId="1" xfId="0" applyFill="1" applyBorder="1"/>
    <xf numFmtId="166" fontId="1" fillId="5" borderId="1" xfId="0" applyNumberFormat="1" applyFont="1" applyFill="1" applyBorder="1"/>
    <xf numFmtId="0" fontId="1" fillId="2" borderId="4" xfId="0" applyFont="1" applyFill="1" applyBorder="1"/>
    <xf numFmtId="0" fontId="12" fillId="2" borderId="2" xfId="0" applyFont="1" applyFill="1" applyBorder="1"/>
    <xf numFmtId="0" fontId="0" fillId="9" borderId="1" xfId="0" applyFill="1" applyBorder="1"/>
    <xf numFmtId="166" fontId="0" fillId="0" borderId="0" xfId="0" applyNumberFormat="1" applyFont="1" applyFill="1"/>
    <xf numFmtId="166" fontId="12" fillId="9" borderId="3" xfId="0" applyNumberFormat="1" applyFont="1" applyFill="1" applyBorder="1" applyAlignment="1">
      <alignment horizontal="right" wrapText="1"/>
    </xf>
    <xf numFmtId="166" fontId="12" fillId="13" borderId="1" xfId="0" applyNumberFormat="1" applyFont="1" applyFill="1" applyBorder="1" applyAlignment="1">
      <alignment horizontal="right"/>
    </xf>
    <xf numFmtId="167" fontId="12" fillId="13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5" fillId="0" borderId="0" xfId="0" applyFont="1"/>
    <xf numFmtId="0" fontId="0" fillId="10" borderId="1" xfId="0" applyFill="1" applyBorder="1" applyAlignment="1"/>
    <xf numFmtId="166" fontId="12" fillId="5" borderId="1" xfId="0" applyNumberFormat="1" applyFont="1" applyFill="1" applyBorder="1"/>
    <xf numFmtId="4" fontId="0" fillId="11" borderId="1" xfId="0" applyNumberFormat="1" applyFont="1" applyFill="1" applyBorder="1"/>
    <xf numFmtId="166" fontId="26" fillId="9" borderId="3" xfId="0" applyNumberFormat="1" applyFont="1" applyFill="1" applyBorder="1" applyAlignment="1">
      <alignment horizontal="right" wrapText="1"/>
    </xf>
    <xf numFmtId="4" fontId="0" fillId="5" borderId="1" xfId="0" applyNumberFormat="1" applyFont="1" applyFill="1" applyBorder="1"/>
    <xf numFmtId="2" fontId="0" fillId="4" borderId="1" xfId="0" applyNumberFormat="1" applyFont="1" applyFill="1" applyBorder="1"/>
    <xf numFmtId="164" fontId="7" fillId="14" borderId="1" xfId="2" applyNumberFormat="1" applyFont="1" applyFill="1" applyBorder="1"/>
    <xf numFmtId="168" fontId="0" fillId="12" borderId="1" xfId="0" applyNumberFormat="1" applyFont="1" applyFill="1" applyBorder="1"/>
    <xf numFmtId="166" fontId="12" fillId="13" borderId="1" xfId="0" applyNumberFormat="1" applyFont="1" applyFill="1" applyBorder="1"/>
    <xf numFmtId="0" fontId="3" fillId="0" borderId="0" xfId="1"/>
    <xf numFmtId="0" fontId="0" fillId="15" borderId="0" xfId="0" applyFill="1"/>
    <xf numFmtId="168" fontId="0" fillId="0" borderId="0" xfId="0" applyNumberFormat="1" applyFont="1" applyFill="1" applyBorder="1"/>
    <xf numFmtId="0" fontId="0" fillId="15" borderId="1" xfId="0" applyFont="1" applyFill="1" applyBorder="1"/>
    <xf numFmtId="0" fontId="1" fillId="15" borderId="1" xfId="0" applyFont="1" applyFill="1" applyBorder="1"/>
    <xf numFmtId="3" fontId="0" fillId="15" borderId="1" xfId="0" applyNumberFormat="1" applyFont="1" applyFill="1" applyBorder="1"/>
    <xf numFmtId="4" fontId="0" fillId="15" borderId="1" xfId="0" applyNumberFormat="1" applyFont="1" applyFill="1" applyBorder="1"/>
    <xf numFmtId="168" fontId="0" fillId="15" borderId="1" xfId="0" applyNumberFormat="1" applyFont="1" applyFill="1" applyBorder="1"/>
    <xf numFmtId="0" fontId="0" fillId="15" borderId="1" xfId="0" applyFill="1" applyBorder="1"/>
    <xf numFmtId="1" fontId="0" fillId="3" borderId="1" xfId="0" applyNumberFormat="1" applyFill="1" applyBorder="1"/>
    <xf numFmtId="1" fontId="0" fillId="3" borderId="1" xfId="0" applyNumberFormat="1" applyFont="1" applyFill="1" applyBorder="1"/>
    <xf numFmtId="1" fontId="1" fillId="3" borderId="1" xfId="0" applyNumberFormat="1" applyFont="1" applyFill="1" applyBorder="1"/>
    <xf numFmtId="0" fontId="19" fillId="0" borderId="0" xfId="0" applyFont="1" applyFill="1" applyBorder="1" applyAlignment="1">
      <alignment wrapText="1"/>
    </xf>
    <xf numFmtId="2" fontId="0" fillId="5" borderId="1" xfId="0" applyNumberFormat="1" applyFont="1" applyFill="1" applyBorder="1"/>
    <xf numFmtId="2" fontId="0" fillId="0" borderId="0" xfId="0" applyNumberFormat="1" applyFont="1" applyFill="1" applyBorder="1"/>
    <xf numFmtId="1" fontId="0" fillId="9" borderId="1" xfId="2" applyNumberFormat="1" applyFont="1" applyFill="1" applyBorder="1"/>
    <xf numFmtId="1" fontId="0" fillId="9" borderId="1" xfId="0" applyNumberFormat="1" applyFont="1" applyFill="1" applyBorder="1"/>
    <xf numFmtId="166" fontId="0" fillId="0" borderId="0" xfId="0" applyNumberFormat="1"/>
    <xf numFmtId="169" fontId="1" fillId="2" borderId="1" xfId="0" applyNumberFormat="1" applyFont="1" applyFill="1" applyBorder="1"/>
    <xf numFmtId="0" fontId="1" fillId="0" borderId="6" xfId="0" applyFont="1" applyFill="1" applyBorder="1" applyAlignment="1"/>
    <xf numFmtId="10" fontId="0" fillId="10" borderId="1" xfId="2" applyNumberFormat="1" applyFont="1" applyFill="1" applyBorder="1"/>
    <xf numFmtId="10" fontId="7" fillId="10" borderId="1" xfId="2" applyNumberFormat="1" applyFont="1" applyFill="1" applyBorder="1"/>
    <xf numFmtId="10" fontId="0" fillId="10" borderId="1" xfId="0" applyNumberFormat="1" applyFont="1" applyFill="1" applyBorder="1"/>
    <xf numFmtId="0" fontId="0" fillId="0" borderId="5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0" fillId="6" borderId="7" xfId="0" applyFont="1" applyFill="1" applyBorder="1" applyAlignment="1">
      <alignment wrapText="1"/>
    </xf>
    <xf numFmtId="4" fontId="0" fillId="6" borderId="5" xfId="0" applyNumberFormat="1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3" fontId="0" fillId="4" borderId="5" xfId="0" applyNumberFormat="1" applyFont="1" applyFill="1" applyBorder="1"/>
    <xf numFmtId="3" fontId="0" fillId="4" borderId="0" xfId="0" applyNumberFormat="1" applyFont="1" applyFill="1" applyBorder="1"/>
    <xf numFmtId="3" fontId="12" fillId="4" borderId="0" xfId="0" applyNumberFormat="1" applyFont="1" applyFill="1" applyBorder="1"/>
    <xf numFmtId="4" fontId="0" fillId="4" borderId="0" xfId="0" applyNumberFormat="1" applyFont="1" applyFill="1" applyBorder="1"/>
    <xf numFmtId="0" fontId="0" fillId="4" borderId="0" xfId="0" applyFont="1" applyFill="1" applyBorder="1"/>
    <xf numFmtId="0" fontId="0" fillId="4" borderId="7" xfId="0" applyFont="1" applyFill="1" applyBorder="1"/>
    <xf numFmtId="0" fontId="0" fillId="8" borderId="5" xfId="0" applyFont="1" applyFill="1" applyBorder="1"/>
    <xf numFmtId="0" fontId="0" fillId="8" borderId="0" xfId="0" applyFont="1" applyFill="1" applyBorder="1"/>
    <xf numFmtId="4" fontId="0" fillId="8" borderId="0" xfId="0" applyNumberFormat="1" applyFont="1" applyFill="1" applyBorder="1"/>
    <xf numFmtId="4" fontId="0" fillId="8" borderId="7" xfId="0" applyNumberFormat="1" applyFont="1" applyFill="1" applyBorder="1"/>
    <xf numFmtId="3" fontId="0" fillId="11" borderId="5" xfId="0" applyNumberFormat="1" applyFont="1" applyFill="1" applyBorder="1"/>
    <xf numFmtId="3" fontId="0" fillId="11" borderId="0" xfId="0" applyNumberFormat="1" applyFont="1" applyFill="1" applyBorder="1"/>
    <xf numFmtId="4" fontId="0" fillId="11" borderId="0" xfId="0" applyNumberFormat="1" applyFont="1" applyFill="1" applyBorder="1"/>
    <xf numFmtId="4" fontId="0" fillId="11" borderId="7" xfId="0" applyNumberFormat="1" applyFont="1" applyFill="1" applyBorder="1"/>
    <xf numFmtId="4" fontId="0" fillId="11" borderId="5" xfId="0" applyNumberFormat="1" applyFont="1" applyFill="1" applyBorder="1"/>
    <xf numFmtId="4" fontId="0" fillId="7" borderId="5" xfId="0" applyNumberFormat="1" applyFont="1" applyFill="1" applyBorder="1"/>
    <xf numFmtId="0" fontId="0" fillId="7" borderId="0" xfId="0" applyFont="1" applyFill="1" applyBorder="1"/>
    <xf numFmtId="4" fontId="0" fillId="7" borderId="0" xfId="0" applyNumberFormat="1" applyFont="1" applyFill="1" applyBorder="1"/>
    <xf numFmtId="2" fontId="0" fillId="7" borderId="0" xfId="0" applyNumberFormat="1" applyFont="1" applyFill="1" applyBorder="1"/>
    <xf numFmtId="4" fontId="0" fillId="7" borderId="7" xfId="0" applyNumberFormat="1" applyFont="1" applyFill="1" applyBorder="1"/>
    <xf numFmtId="3" fontId="0" fillId="7" borderId="0" xfId="0" applyNumberFormat="1" applyFont="1" applyFill="1" applyBorder="1"/>
    <xf numFmtId="3" fontId="0" fillId="5" borderId="5" xfId="0" applyNumberFormat="1" applyFont="1" applyFill="1" applyBorder="1"/>
    <xf numFmtId="3" fontId="0" fillId="5" borderId="0" xfId="0" applyNumberFormat="1" applyFont="1" applyFill="1" applyBorder="1"/>
    <xf numFmtId="2" fontId="0" fillId="5" borderId="0" xfId="0" applyNumberFormat="1" applyFont="1" applyFill="1" applyBorder="1"/>
    <xf numFmtId="4" fontId="0" fillId="5" borderId="0" xfId="0" applyNumberFormat="1" applyFont="1" applyFill="1" applyBorder="1"/>
    <xf numFmtId="4" fontId="0" fillId="5" borderId="7" xfId="0" applyNumberFormat="1" applyFont="1" applyFill="1" applyBorder="1"/>
    <xf numFmtId="0" fontId="0" fillId="5" borderId="0" xfId="0" applyFont="1" applyFill="1" applyBorder="1"/>
    <xf numFmtId="0" fontId="0" fillId="5" borderId="7" xfId="0" applyFont="1" applyFill="1" applyBorder="1"/>
    <xf numFmtId="3" fontId="0" fillId="12" borderId="5" xfId="0" applyNumberFormat="1" applyFont="1" applyFill="1" applyBorder="1"/>
    <xf numFmtId="3" fontId="0" fillId="12" borderId="0" xfId="0" applyNumberFormat="1" applyFont="1" applyFill="1" applyBorder="1"/>
    <xf numFmtId="0" fontId="20" fillId="12" borderId="7" xfId="0" applyFont="1" applyFill="1" applyBorder="1" applyAlignment="1">
      <alignment vertical="center" wrapText="1"/>
    </xf>
    <xf numFmtId="0" fontId="0" fillId="12" borderId="7" xfId="0" applyFont="1" applyFill="1" applyBorder="1"/>
    <xf numFmtId="0" fontId="0" fillId="15" borderId="5" xfId="0" applyFont="1" applyFill="1" applyBorder="1"/>
    <xf numFmtId="0" fontId="0" fillId="15" borderId="0" xfId="0" applyFont="1" applyFill="1" applyBorder="1"/>
    <xf numFmtId="3" fontId="0" fillId="15" borderId="0" xfId="0" applyNumberFormat="1" applyFont="1" applyFill="1" applyBorder="1"/>
    <xf numFmtId="0" fontId="0" fillId="15" borderId="7" xfId="0" applyFont="1" applyFill="1" applyBorder="1"/>
    <xf numFmtId="0" fontId="0" fillId="15" borderId="8" xfId="0" applyFont="1" applyFill="1" applyBorder="1"/>
    <xf numFmtId="0" fontId="0" fillId="15" borderId="6" xfId="0" applyFont="1" applyFill="1" applyBorder="1"/>
    <xf numFmtId="3" fontId="0" fillId="15" borderId="6" xfId="0" applyNumberFormat="1" applyFont="1" applyFill="1" applyBorder="1"/>
    <xf numFmtId="0" fontId="0" fillId="15" borderId="9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10" xfId="0" applyFont="1" applyFill="1" applyBorder="1"/>
    <xf numFmtId="2" fontId="0" fillId="9" borderId="1" xfId="2" applyNumberFormat="1" applyFont="1" applyFill="1" applyBorder="1"/>
    <xf numFmtId="2" fontId="12" fillId="9" borderId="1" xfId="0" applyNumberFormat="1" applyFont="1" applyFill="1" applyBorder="1"/>
    <xf numFmtId="2" fontId="0" fillId="9" borderId="1" xfId="0" applyNumberFormat="1" applyFont="1" applyFill="1" applyBorder="1"/>
    <xf numFmtId="4" fontId="0" fillId="0" borderId="0" xfId="0" applyNumberFormat="1"/>
    <xf numFmtId="2" fontId="0" fillId="0" borderId="0" xfId="0" applyNumberFormat="1"/>
    <xf numFmtId="0" fontId="28" fillId="0" borderId="0" xfId="0" applyFont="1" applyFill="1" applyBorder="1" applyAlignment="1">
      <alignment wrapText="1"/>
    </xf>
    <xf numFmtId="0" fontId="27" fillId="16" borderId="0" xfId="0" applyFont="1" applyFill="1"/>
    <xf numFmtId="170" fontId="0" fillId="0" borderId="0" xfId="0" applyNumberFormat="1"/>
    <xf numFmtId="171" fontId="12" fillId="0" borderId="0" xfId="0" applyNumberFormat="1" applyFont="1" applyBorder="1" applyAlignment="1">
      <alignment horizontal="left" wrapText="1"/>
    </xf>
    <xf numFmtId="172" fontId="0" fillId="0" borderId="5" xfId="0" applyNumberFormat="1" applyFont="1" applyFill="1" applyBorder="1"/>
    <xf numFmtId="4" fontId="12" fillId="0" borderId="6" xfId="0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3" fillId="0" borderId="5" xfId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13D8A"/>
      <color rgb="FFA2F731"/>
      <color rgb="FFFF99FF"/>
      <color rgb="FF90CFD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400" b="0"/>
              <a:t>Comparison of PNG’s Control of Corruption and CPI score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Tables!$D$99</c:f>
              <c:strCache>
                <c:ptCount val="1"/>
                <c:pt idx="0">
                  <c:v>Corruption Perceptions score (left hand)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Tables!$E$97:$N$97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Tables!$E$99:$N$99</c:f>
              <c:numCache>
                <c:formatCode>0.0%</c:formatCode>
                <c:ptCount val="10"/>
                <c:pt idx="4" formatCode="0">
                  <c:v>25</c:v>
                </c:pt>
                <c:pt idx="5" formatCode="0">
                  <c:v>25</c:v>
                </c:pt>
                <c:pt idx="6" formatCode="0">
                  <c:v>25</c:v>
                </c:pt>
                <c:pt idx="7" formatCode="0">
                  <c:v>25</c:v>
                </c:pt>
                <c:pt idx="8" formatCode="0">
                  <c:v>28</c:v>
                </c:pt>
                <c:pt idx="9" formatCode="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8-4009-874E-2F8C2FDBE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84704"/>
        <c:axId val="204184576"/>
      </c:lineChart>
      <c:lineChart>
        <c:grouping val="standard"/>
        <c:varyColors val="0"/>
        <c:ser>
          <c:idx val="0"/>
          <c:order val="0"/>
          <c:tx>
            <c:strRef>
              <c:f>Tables!$D$98</c:f>
              <c:strCache>
                <c:ptCount val="1"/>
                <c:pt idx="0">
                  <c:v>Control of Corruption (right hand)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Tables!$E$97:$N$97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Tables!$E$98:$N$98</c:f>
              <c:numCache>
                <c:formatCode>0.00</c:formatCode>
                <c:ptCount val="10"/>
                <c:pt idx="0">
                  <c:v>10.19</c:v>
                </c:pt>
                <c:pt idx="1">
                  <c:v>6.7</c:v>
                </c:pt>
                <c:pt idx="2">
                  <c:v>15.71</c:v>
                </c:pt>
                <c:pt idx="3">
                  <c:v>16.11</c:v>
                </c:pt>
                <c:pt idx="4">
                  <c:v>18.48</c:v>
                </c:pt>
                <c:pt idx="5">
                  <c:v>17.059999999999999</c:v>
                </c:pt>
                <c:pt idx="6">
                  <c:v>17.79</c:v>
                </c:pt>
                <c:pt idx="7">
                  <c:v>16.350000000000001</c:v>
                </c:pt>
                <c:pt idx="8">
                  <c:v>15.38</c:v>
                </c:pt>
                <c:pt idx="9">
                  <c:v>16.829999999999998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8-4009-874E-2F8C2FDBE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05440"/>
        <c:axId val="204203136"/>
      </c:lineChart>
      <c:catAx>
        <c:axId val="1741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184576"/>
        <c:crossesAt val="0"/>
        <c:auto val="1"/>
        <c:lblAlgn val="ctr"/>
        <c:lblOffset val="100"/>
        <c:noMultiLvlLbl val="0"/>
      </c:catAx>
      <c:valAx>
        <c:axId val="204184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84704"/>
        <c:crosses val="autoZero"/>
        <c:crossBetween val="between"/>
      </c:valAx>
      <c:valAx>
        <c:axId val="20420313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05440"/>
        <c:crosses val="max"/>
        <c:crossBetween val="between"/>
      </c:valAx>
      <c:catAx>
        <c:axId val="20420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203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solidFill>
                  <a:sysClr val="windowText" lastClr="000000"/>
                </a:solidFill>
              </a:rPr>
              <a:t>RPNGC (Police)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Tables!$D$62</c:f>
              <c:strCache>
                <c:ptCount val="1"/>
                <c:pt idx="0">
                  <c:v>RPNGC Budgeted</c:v>
                </c:pt>
              </c:strCache>
            </c:strRef>
          </c:tx>
          <c:marker>
            <c:symbol val="none"/>
          </c:marker>
          <c:cat>
            <c:numRef>
              <c:f>Tables!$E$61:$P$61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Tables!$E$62:$P$62</c:f>
              <c:numCache>
                <c:formatCode>#,##0.0</c:formatCode>
                <c:ptCount val="12"/>
                <c:pt idx="0">
                  <c:v>305.71536567453586</c:v>
                </c:pt>
                <c:pt idx="1">
                  <c:v>298.15735770783692</c:v>
                </c:pt>
                <c:pt idx="2">
                  <c:v>332.16798023554276</c:v>
                </c:pt>
                <c:pt idx="3">
                  <c:v>375.94946450419047</c:v>
                </c:pt>
                <c:pt idx="4">
                  <c:v>407.85637235734453</c:v>
                </c:pt>
                <c:pt idx="5">
                  <c:v>352.47735192951279</c:v>
                </c:pt>
                <c:pt idx="6">
                  <c:v>537.99732498332924</c:v>
                </c:pt>
                <c:pt idx="7">
                  <c:v>429.10345104001692</c:v>
                </c:pt>
                <c:pt idx="8">
                  <c:v>398.32771163154058</c:v>
                </c:pt>
                <c:pt idx="9">
                  <c:v>324.33757978885416</c:v>
                </c:pt>
                <c:pt idx="10">
                  <c:v>258.47000000000003</c:v>
                </c:pt>
                <c:pt idx="11">
                  <c:v>293.94093218062989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A-4B72-8354-3E77C23D5952}"/>
            </c:ext>
          </c:extLst>
        </c:ser>
        <c:ser>
          <c:idx val="1"/>
          <c:order val="1"/>
          <c:tx>
            <c:strRef>
              <c:f>Tables!$D$63</c:f>
              <c:strCache>
                <c:ptCount val="1"/>
                <c:pt idx="0">
                  <c:v>RPNGC Actual</c:v>
                </c:pt>
              </c:strCache>
            </c:strRef>
          </c:tx>
          <c:marker>
            <c:symbol val="none"/>
          </c:marker>
          <c:cat>
            <c:numRef>
              <c:f>Tables!$E$61:$P$61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Tables!$E$63:$P$63</c:f>
              <c:numCache>
                <c:formatCode>#,##0.0</c:formatCode>
                <c:ptCount val="12"/>
                <c:pt idx="0">
                  <c:v>349.94609616074462</c:v>
                </c:pt>
                <c:pt idx="1">
                  <c:v>331.13935518257642</c:v>
                </c:pt>
                <c:pt idx="2">
                  <c:v>348.25005016500933</c:v>
                </c:pt>
                <c:pt idx="3">
                  <c:v>489.24404934758104</c:v>
                </c:pt>
                <c:pt idx="4">
                  <c:v>443.57784054077013</c:v>
                </c:pt>
                <c:pt idx="5">
                  <c:v>464.36974833889855</c:v>
                </c:pt>
                <c:pt idx="6">
                  <c:v>522.85956925849314</c:v>
                </c:pt>
                <c:pt idx="7">
                  <c:v>438.89439418440503</c:v>
                </c:pt>
                <c:pt idx="8">
                  <c:v>470.65170693462824</c:v>
                </c:pt>
                <c:pt idx="9">
                  <c:v>332.25037807592702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A-4B72-8354-3E77C23D5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08000"/>
        <c:axId val="204209536"/>
      </c:lineChart>
      <c:catAx>
        <c:axId val="2042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209536"/>
        <c:crosses val="autoZero"/>
        <c:auto val="1"/>
        <c:lblAlgn val="ctr"/>
        <c:lblOffset val="100"/>
        <c:noMultiLvlLbl val="0"/>
      </c:catAx>
      <c:valAx>
        <c:axId val="204209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80524602454725E-2"/>
              <c:y val="0.33205140927309518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204208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1400" b="0" i="0" u="none" strike="noStrike" baseline="0">
                <a:effectLst/>
              </a:rPr>
              <a:t>Taskforce Sweep &amp; ICAC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Tables!$D$68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Tables!$E$67:$P$67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Tables!$E$68:$P$68</c:f>
              <c:numCache>
                <c:formatCode>#,##0.0</c:formatCode>
                <c:ptCount val="12"/>
                <c:pt idx="4">
                  <c:v>6.844766648161575</c:v>
                </c:pt>
                <c:pt idx="5">
                  <c:v>26.085183916397188</c:v>
                </c:pt>
                <c:pt idx="6">
                  <c:v>24.775377618389555</c:v>
                </c:pt>
                <c:pt idx="7">
                  <c:v>5.8432460876032799</c:v>
                </c:pt>
                <c:pt idx="8">
                  <c:v>0</c:v>
                </c:pt>
                <c:pt idx="9">
                  <c:v>1.0499997727007544</c:v>
                </c:pt>
                <c:pt idx="10" formatCode="#,##0.00">
                  <c:v>0.5</c:v>
                </c:pt>
                <c:pt idx="11" formatCode="#,##0.00">
                  <c:v>0.38095235477242584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E-4670-982F-904246413A30}"/>
            </c:ext>
          </c:extLst>
        </c:ser>
        <c:ser>
          <c:idx val="1"/>
          <c:order val="1"/>
          <c:tx>
            <c:strRef>
              <c:f>Tables!$D$69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Tables!$E$67:$P$67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Tables!$E$69:$P$69</c:f>
              <c:numCache>
                <c:formatCode>#,##0.0</c:formatCode>
                <c:ptCount val="12"/>
                <c:pt idx="3">
                  <c:v>8.3001792655070865</c:v>
                </c:pt>
                <c:pt idx="4">
                  <c:v>4.1068599888969448</c:v>
                </c:pt>
                <c:pt idx="5">
                  <c:v>8.4776847728290861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E-4670-982F-90424641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8080"/>
        <c:axId val="209279616"/>
      </c:lineChart>
      <c:catAx>
        <c:axId val="2092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279616"/>
        <c:crosses val="autoZero"/>
        <c:auto val="1"/>
        <c:lblAlgn val="ctr"/>
        <c:lblOffset val="100"/>
        <c:noMultiLvlLbl val="0"/>
      </c:catAx>
      <c:valAx>
        <c:axId val="209279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2233751346595661E-2"/>
              <c:y val="0.33046274011351906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209278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RPNGC compared to AC spending/allocation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Tables!$D$62</c:f>
              <c:strCache>
                <c:ptCount val="1"/>
                <c:pt idx="0">
                  <c:v>RPNGC Budgeted</c:v>
                </c:pt>
              </c:strCache>
            </c:strRef>
          </c:tx>
          <c:marker>
            <c:symbol val="none"/>
          </c:marker>
          <c:cat>
            <c:numRef>
              <c:f>Tables!$E$61:$P$61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Tables!$E$62:$P$62</c:f>
              <c:numCache>
                <c:formatCode>#,##0.0</c:formatCode>
                <c:ptCount val="12"/>
                <c:pt idx="0">
                  <c:v>305.71536567453586</c:v>
                </c:pt>
                <c:pt idx="1">
                  <c:v>298.15735770783692</c:v>
                </c:pt>
                <c:pt idx="2">
                  <c:v>332.16798023554276</c:v>
                </c:pt>
                <c:pt idx="3">
                  <c:v>375.94946450419047</c:v>
                </c:pt>
                <c:pt idx="4">
                  <c:v>407.85637235734453</c:v>
                </c:pt>
                <c:pt idx="5">
                  <c:v>352.47735192951279</c:v>
                </c:pt>
                <c:pt idx="6">
                  <c:v>537.99732498332924</c:v>
                </c:pt>
                <c:pt idx="7">
                  <c:v>429.10345104001692</c:v>
                </c:pt>
                <c:pt idx="8">
                  <c:v>398.32771163154058</c:v>
                </c:pt>
                <c:pt idx="9">
                  <c:v>324.33757978885416</c:v>
                </c:pt>
                <c:pt idx="10">
                  <c:v>258.47000000000003</c:v>
                </c:pt>
                <c:pt idx="11">
                  <c:v>293.94093218062989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4-4218-A07A-032CEE017025}"/>
            </c:ext>
          </c:extLst>
        </c:ser>
        <c:ser>
          <c:idx val="1"/>
          <c:order val="1"/>
          <c:tx>
            <c:strRef>
              <c:f>Tables!$D$63</c:f>
              <c:strCache>
                <c:ptCount val="1"/>
                <c:pt idx="0">
                  <c:v>RPNGC Actual</c:v>
                </c:pt>
              </c:strCache>
            </c:strRef>
          </c:tx>
          <c:marker>
            <c:symbol val="none"/>
          </c:marker>
          <c:cat>
            <c:numRef>
              <c:f>Tables!$E$61:$P$61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Tables!$E$63:$P$63</c:f>
              <c:numCache>
                <c:formatCode>#,##0.0</c:formatCode>
                <c:ptCount val="12"/>
                <c:pt idx="0">
                  <c:v>349.94609616074462</c:v>
                </c:pt>
                <c:pt idx="1">
                  <c:v>331.13935518257642</c:v>
                </c:pt>
                <c:pt idx="2">
                  <c:v>348.25005016500933</c:v>
                </c:pt>
                <c:pt idx="3">
                  <c:v>489.24404934758104</c:v>
                </c:pt>
                <c:pt idx="4">
                  <c:v>443.57784054077013</c:v>
                </c:pt>
                <c:pt idx="5">
                  <c:v>464.36974833889855</c:v>
                </c:pt>
                <c:pt idx="6">
                  <c:v>522.85956925849314</c:v>
                </c:pt>
                <c:pt idx="7">
                  <c:v>438.89439418440503</c:v>
                </c:pt>
                <c:pt idx="8">
                  <c:v>470.65170693462824</c:v>
                </c:pt>
                <c:pt idx="9">
                  <c:v>332.25037807592702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4-4218-A07A-032CEE017025}"/>
            </c:ext>
          </c:extLst>
        </c:ser>
        <c:ser>
          <c:idx val="2"/>
          <c:order val="2"/>
          <c:tx>
            <c:strRef>
              <c:f>Tables!$D$64</c:f>
              <c:strCache>
                <c:ptCount val="1"/>
                <c:pt idx="0">
                  <c:v>AC Actual(solid)/Budgeted (dashed)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24-4218-A07A-032CEE017025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3024-4218-A07A-032CEE017025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A263-498B-BA99-327D606A83AC}"/>
              </c:ext>
            </c:extLst>
          </c:dPt>
          <c:cat>
            <c:numRef>
              <c:f>Tables!$E$61:$P$61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Tables!$E$64:$P$64</c:f>
              <c:numCache>
                <c:formatCode>#,##0.0</c:formatCode>
                <c:ptCount val="12"/>
                <c:pt idx="0">
                  <c:v>47.345322287798723</c:v>
                </c:pt>
                <c:pt idx="1">
                  <c:v>44.644352860896433</c:v>
                </c:pt>
                <c:pt idx="2">
                  <c:v>43.481074532904799</c:v>
                </c:pt>
                <c:pt idx="3">
                  <c:v>53.575081241145156</c:v>
                </c:pt>
                <c:pt idx="4">
                  <c:v>53.226000618768111</c:v>
                </c:pt>
                <c:pt idx="5">
                  <c:v>63.144143854583511</c:v>
                </c:pt>
                <c:pt idx="6">
                  <c:v>49.107523731186113</c:v>
                </c:pt>
                <c:pt idx="7">
                  <c:v>47.03836473504991</c:v>
                </c:pt>
                <c:pt idx="8">
                  <c:v>46.900236704174077</c:v>
                </c:pt>
                <c:pt idx="9">
                  <c:v>41.337441051456004</c:v>
                </c:pt>
                <c:pt idx="10">
                  <c:v>39.314900000000002</c:v>
                </c:pt>
                <c:pt idx="11">
                  <c:v>44.992130241366745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24-4218-A07A-032CEE017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427648"/>
        <c:axId val="246429184"/>
      </c:lineChart>
      <c:catAx>
        <c:axId val="24642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6429184"/>
        <c:crosses val="autoZero"/>
        <c:auto val="1"/>
        <c:lblAlgn val="ctr"/>
        <c:lblOffset val="100"/>
        <c:noMultiLvlLbl val="0"/>
      </c:catAx>
      <c:valAx>
        <c:axId val="24642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751975009459317E-2"/>
              <c:y val="0.32904809430223864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246427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Anti-corruption Spending as Proportion of National Budget minus provincial expenses</a:t>
            </a:r>
            <a:endParaRPr lang="en-AU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Tables!$D$127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Tables!$E$126:$P$126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Tables!$E$127:$P$127</c:f>
              <c:numCache>
                <c:formatCode>0.0%</c:formatCode>
                <c:ptCount val="12"/>
                <c:pt idx="0">
                  <c:v>3.7270685502245947E-3</c:v>
                </c:pt>
                <c:pt idx="1">
                  <c:v>5.052783944587514E-3</c:v>
                </c:pt>
                <c:pt idx="2">
                  <c:v>4.5236668942826991E-3</c:v>
                </c:pt>
                <c:pt idx="3">
                  <c:v>3.9460784313725492E-3</c:v>
                </c:pt>
                <c:pt idx="4">
                  <c:v>5.069134559620078E-3</c:v>
                </c:pt>
                <c:pt idx="5">
                  <c:v>4.9791068028388428E-3</c:v>
                </c:pt>
                <c:pt idx="6">
                  <c:v>5.0110207862590793E-3</c:v>
                </c:pt>
                <c:pt idx="7">
                  <c:v>4.6605422576242502E-3</c:v>
                </c:pt>
                <c:pt idx="8">
                  <c:v>4.2791649836595308E-3</c:v>
                </c:pt>
                <c:pt idx="9">
                  <c:v>3.8742329448919624E-3</c:v>
                </c:pt>
                <c:pt idx="10">
                  <c:v>3.692129260069683E-3</c:v>
                </c:pt>
                <c:pt idx="11">
                  <c:v>3.6147937868237813E-3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F-40F1-98D5-5B29009E69BF}"/>
            </c:ext>
          </c:extLst>
        </c:ser>
        <c:ser>
          <c:idx val="1"/>
          <c:order val="1"/>
          <c:tx>
            <c:strRef>
              <c:f>Tables!$D$128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Tables!$E$126:$P$126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Tables!$E$128:$P$128</c:f>
              <c:numCache>
                <c:formatCode>0.0%</c:formatCode>
                <c:ptCount val="12"/>
                <c:pt idx="0">
                  <c:v>4.2095478437462665E-3</c:v>
                </c:pt>
                <c:pt idx="1">
                  <c:v>5.0378458865864249E-3</c:v>
                </c:pt>
                <c:pt idx="2">
                  <c:v>4.1285460867097135E-3</c:v>
                </c:pt>
                <c:pt idx="3">
                  <c:v>4.6333168316831687E-3</c:v>
                </c:pt>
                <c:pt idx="4">
                  <c:v>4.5077620488562717E-3</c:v>
                </c:pt>
                <c:pt idx="5">
                  <c:v>4.3900001813532577E-3</c:v>
                </c:pt>
                <c:pt idx="6">
                  <c:v>3.3852420518688674E-3</c:v>
                </c:pt>
                <c:pt idx="7">
                  <c:v>3.9777641617583116E-3</c:v>
                </c:pt>
                <c:pt idx="8">
                  <c:v>4.3842007626507268E-3</c:v>
                </c:pt>
                <c:pt idx="9">
                  <c:v>3.078156030586874E-3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F-40F1-98D5-5B29009E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463488"/>
        <c:axId val="246469376"/>
      </c:lineChart>
      <c:catAx>
        <c:axId val="2464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6469376"/>
        <c:crosses val="autoZero"/>
        <c:auto val="1"/>
        <c:lblAlgn val="ctr"/>
        <c:lblOffset val="100"/>
        <c:noMultiLvlLbl val="0"/>
      </c:catAx>
      <c:valAx>
        <c:axId val="24646937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crossAx val="24646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400" b="0"/>
              <a:t>Anti-corruption Spending</a:t>
            </a:r>
            <a:r>
              <a:rPr lang="en-AU" sz="1400" b="0" baseline="0"/>
              <a:t> as Proportion of National Budget</a:t>
            </a:r>
            <a:endParaRPr lang="en-AU" sz="14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Tables!$D$93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Tables!$E$92:$P$92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Tables!$E$93:$P$93</c:f>
              <c:numCache>
                <c:formatCode>0.00%</c:formatCode>
                <c:ptCount val="12"/>
                <c:pt idx="0">
                  <c:v>3.2717947252621652E-3</c:v>
                </c:pt>
                <c:pt idx="1">
                  <c:v>4.261042131591954E-3</c:v>
                </c:pt>
                <c:pt idx="2">
                  <c:v>3.8918381243574504E-3</c:v>
                </c:pt>
                <c:pt idx="3">
                  <c:v>3.4001200660363205E-3</c:v>
                </c:pt>
                <c:pt idx="4">
                  <c:v>4.3867409069818101E-3</c:v>
                </c:pt>
                <c:pt idx="5">
                  <c:v>4.4148172023206547E-3</c:v>
                </c:pt>
                <c:pt idx="6">
                  <c:v>3.7844846186537639E-3</c:v>
                </c:pt>
                <c:pt idx="7">
                  <c:v>3.6046693952133139E-3</c:v>
                </c:pt>
                <c:pt idx="8">
                  <c:v>3.1575603213526071E-3</c:v>
                </c:pt>
                <c:pt idx="9">
                  <c:v>2.9038390950971945E-3</c:v>
                </c:pt>
                <c:pt idx="10">
                  <c:v>2.6712302706228472E-3</c:v>
                </c:pt>
                <c:pt idx="11">
                  <c:v>2.9281767750333155E-3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8-4753-9912-61BAB39AE786}"/>
            </c:ext>
          </c:extLst>
        </c:ser>
        <c:ser>
          <c:idx val="1"/>
          <c:order val="1"/>
          <c:tx>
            <c:strRef>
              <c:f>Tables!$D$94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Tables!$E$92:$P$92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Tables!$E$94:$P$94</c:f>
              <c:numCache>
                <c:formatCode>0.00%</c:formatCode>
                <c:ptCount val="12"/>
                <c:pt idx="0">
                  <c:v>3.7329510845096532E-3</c:v>
                </c:pt>
                <c:pt idx="1">
                  <c:v>4.2497196261682239E-3</c:v>
                </c:pt>
                <c:pt idx="2">
                  <c:v>3.5948644440600046E-3</c:v>
                </c:pt>
                <c:pt idx="3">
                  <c:v>3.9951764027917102E-3</c:v>
                </c:pt>
                <c:pt idx="4">
                  <c:v>3.8699300281678927E-3</c:v>
                </c:pt>
                <c:pt idx="5">
                  <c:v>3.8715553778488608E-3</c:v>
                </c:pt>
                <c:pt idx="6">
                  <c:v>2.5651906638453721E-3</c:v>
                </c:pt>
                <c:pt idx="7">
                  <c:v>2.9190502436760271E-3</c:v>
                </c:pt>
                <c:pt idx="8">
                  <c:v>3.1342945978603638E-3</c:v>
                </c:pt>
                <c:pt idx="9">
                  <c:v>2.4402020640282643E-3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8-4753-9912-61BAB39AE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048448"/>
        <c:axId val="260444160"/>
      </c:lineChart>
      <c:catAx>
        <c:axId val="24704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444160"/>
        <c:crosses val="autoZero"/>
        <c:auto val="1"/>
        <c:lblAlgn val="ctr"/>
        <c:lblOffset val="100"/>
        <c:noMultiLvlLbl val="0"/>
      </c:catAx>
      <c:valAx>
        <c:axId val="260444160"/>
        <c:scaling>
          <c:orientation val="minMax"/>
          <c:max val="8.0000000000000019E-3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47048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Total Anti-corruption Spending with EITI included (Ombudsman Commission/National Fraud and </a:t>
            </a:r>
            <a:r>
              <a:rPr lang="en-AU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Corruption (Fraud Squad)/</a:t>
            </a:r>
            <a:r>
              <a:rPr lang="en-AU" sz="1400" b="0" i="0" baseline="0">
                <a:solidFill>
                  <a:sysClr val="windowText" lastClr="000000"/>
                </a:solidFill>
              </a:rPr>
              <a:t>Auditor-General/Taskforce Sweep &amp; ICAC/FIU/EITI)  </a:t>
            </a:r>
            <a:endParaRPr lang="en-AU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878191842237226"/>
          <c:y val="4.215414039853360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Tables!$D$144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Tables!$E$143:$P$143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Tables!$E$144:$P$144</c:f>
              <c:numCache>
                <c:formatCode>#,##0</c:formatCode>
                <c:ptCount val="12"/>
                <c:pt idx="0">
                  <c:v>38.461052041785834</c:v>
                </c:pt>
                <c:pt idx="1">
                  <c:v>44.691007937601874</c:v>
                </c:pt>
                <c:pt idx="2">
                  <c:v>43.566118192661925</c:v>
                </c:pt>
                <c:pt idx="3">
                  <c:v>45.389100993808327</c:v>
                </c:pt>
                <c:pt idx="4">
                  <c:v>63.417173681215885</c:v>
                </c:pt>
                <c:pt idx="5">
                  <c:v>75.032205572642354</c:v>
                </c:pt>
                <c:pt idx="6">
                  <c:v>71.702172611605022</c:v>
                </c:pt>
                <c:pt idx="7">
                  <c:v>68.24023256915315</c:v>
                </c:pt>
                <c:pt idx="8">
                  <c:v>51.464227217746767</c:v>
                </c:pt>
                <c:pt idx="9">
                  <c:v>43.538030575082246</c:v>
                </c:pt>
                <c:pt idx="10">
                  <c:v>42.014900000000004</c:v>
                </c:pt>
                <c:pt idx="11">
                  <c:v>47.563558636080622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1B-4771-8939-226BCB0E63A4}"/>
            </c:ext>
          </c:extLst>
        </c:ser>
        <c:ser>
          <c:idx val="1"/>
          <c:order val="1"/>
          <c:tx>
            <c:strRef>
              <c:f>Tables!$D$145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Tables!$E$143:$P$143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Tables!$E$145:$P$145</c:f>
              <c:numCache>
                <c:formatCode>#,##0</c:formatCode>
                <c:ptCount val="12"/>
                <c:pt idx="0">
                  <c:v>47.345322287798723</c:v>
                </c:pt>
                <c:pt idx="1">
                  <c:v>44.644352860896433</c:v>
                </c:pt>
                <c:pt idx="2">
                  <c:v>43.481074532904799</c:v>
                </c:pt>
                <c:pt idx="3">
                  <c:v>53.575081241145156</c:v>
                </c:pt>
                <c:pt idx="4">
                  <c:v>53.226000618768111</c:v>
                </c:pt>
                <c:pt idx="5">
                  <c:v>63.144143854583511</c:v>
                </c:pt>
                <c:pt idx="6">
                  <c:v>49.107523731186113</c:v>
                </c:pt>
                <c:pt idx="7">
                  <c:v>47.03836473504991</c:v>
                </c:pt>
                <c:pt idx="8">
                  <c:v>50.869236446416693</c:v>
                </c:pt>
                <c:pt idx="9">
                  <c:v>44.172440437748044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B-4771-8939-226BCB0E6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580864"/>
        <c:axId val="260582400"/>
      </c:lineChart>
      <c:catAx>
        <c:axId val="2605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582400"/>
        <c:crosses val="autoZero"/>
        <c:auto val="1"/>
        <c:lblAlgn val="ctr"/>
        <c:lblOffset val="100"/>
        <c:noMultiLvlLbl val="0"/>
      </c:catAx>
      <c:valAx>
        <c:axId val="260582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Millions</a:t>
                </a:r>
                <a:r>
                  <a:rPr lang="en-AU" b="0" baseline="0"/>
                  <a:t> of Kina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1.3207543899484005E-2"/>
              <c:y val="0.4089523325713317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60580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400" b="0" i="0" baseline="0">
                <a:solidFill>
                  <a:sysClr val="windowText" lastClr="000000"/>
                </a:solidFill>
              </a:rPr>
              <a:t>Actual Spending vs Budgeted for Whole Budget and A/C Organisations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Tables!$D$113</c:f>
              <c:strCache>
                <c:ptCount val="1"/>
                <c:pt idx="0">
                  <c:v>Total budget</c:v>
                </c:pt>
              </c:strCache>
            </c:strRef>
          </c:tx>
          <c:marker>
            <c:symbol val="none"/>
          </c:marker>
          <c:cat>
            <c:numRef>
              <c:f>Tables!$E$112:$N$112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Tables!$E$113:$N$113</c:f>
              <c:numCache>
                <c:formatCode>0%</c:formatCode>
                <c:ptCount val="10"/>
                <c:pt idx="0">
                  <c:v>1.0784218658429183</c:v>
                </c:pt>
                <c:pt idx="1">
                  <c:v>1.0016289549146489</c:v>
                </c:pt>
                <c:pt idx="2">
                  <c:v>1.080819349100917</c:v>
                </c:pt>
                <c:pt idx="3">
                  <c:v>1.0039455566153352</c:v>
                </c:pt>
                <c:pt idx="4">
                  <c:v>0.95187780887469697</c:v>
                </c:pt>
                <c:pt idx="5">
                  <c:v>0.96017309866808154</c:v>
                </c:pt>
                <c:pt idx="6">
                  <c:v>1.0116587288378729</c:v>
                </c:pt>
                <c:pt idx="7">
                  <c:v>0.85179349881785849</c:v>
                </c:pt>
                <c:pt idx="8">
                  <c:v>0.91939880318724398</c:v>
                </c:pt>
                <c:pt idx="9">
                  <c:v>1.2091090956418395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D-4193-B182-59A59B1118CE}"/>
            </c:ext>
          </c:extLst>
        </c:ser>
        <c:ser>
          <c:idx val="1"/>
          <c:order val="1"/>
          <c:tx>
            <c:strRef>
              <c:f>Tables!$D$114</c:f>
              <c:strCache>
                <c:ptCount val="1"/>
                <c:pt idx="0">
                  <c:v>Anti-corruption</c:v>
                </c:pt>
              </c:strCache>
            </c:strRef>
          </c:tx>
          <c:marker>
            <c:symbol val="none"/>
          </c:marker>
          <c:cat>
            <c:numRef>
              <c:f>Tables!$E$112:$N$112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Tables!$E$114:$N$114</c:f>
              <c:numCache>
                <c:formatCode>0%</c:formatCode>
                <c:ptCount val="10"/>
                <c:pt idx="0">
                  <c:v>1.2309939477568272</c:v>
                </c:pt>
                <c:pt idx="1">
                  <c:v>0.99895605226065654</c:v>
                </c:pt>
                <c:pt idx="2">
                  <c:v>0.99804794038842204</c:v>
                </c:pt>
                <c:pt idx="3">
                  <c:v>1.1803512312009332</c:v>
                </c:pt>
                <c:pt idx="4">
                  <c:v>0.83929947566448559</c:v>
                </c:pt>
                <c:pt idx="5">
                  <c:v>0.84156054553735027</c:v>
                </c:pt>
                <c:pt idx="6">
                  <c:v>0.68488194907552968</c:v>
                </c:pt>
                <c:pt idx="7">
                  <c:v>0.68930545755954553</c:v>
                </c:pt>
                <c:pt idx="8">
                  <c:v>0.91260313469401766</c:v>
                </c:pt>
                <c:pt idx="9">
                  <c:v>1.0155863051015355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D-4193-B182-59A59B111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541056"/>
        <c:axId val="152542592"/>
      </c:lineChart>
      <c:catAx>
        <c:axId val="1525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542592"/>
        <c:crosses val="autoZero"/>
        <c:auto val="1"/>
        <c:lblAlgn val="ctr"/>
        <c:lblOffset val="100"/>
        <c:noMultiLvlLbl val="0"/>
      </c:catAx>
      <c:valAx>
        <c:axId val="152542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52541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400" b="0" i="0" u="none" strike="noStrike" baseline="0">
                <a:solidFill>
                  <a:sysClr val="windowText" lastClr="000000"/>
                </a:solidFill>
              </a:rPr>
              <a:t>Actual Spending </a:t>
            </a:r>
            <a:r>
              <a:rPr lang="en-AU" sz="1400" b="1" i="0" u="none" strike="noStrike" baseline="0">
                <a:solidFill>
                  <a:sysClr val="windowText" lastClr="000000"/>
                </a:solidFill>
              </a:rPr>
              <a:t>- </a:t>
            </a:r>
            <a:r>
              <a:rPr lang="en-AU" sz="1400" b="0" i="0" u="none" strike="noStrike" baseline="0">
                <a:solidFill>
                  <a:sysClr val="windowText" lastClr="000000"/>
                </a:solidFill>
              </a:rPr>
              <a:t>Ombudsman Commission/National Fraud and </a:t>
            </a:r>
            <a:r>
              <a:rPr lang="en-AU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Corruption (Fraud Squad)/</a:t>
            </a:r>
            <a:r>
              <a:rPr lang="en-AU" sz="1400" b="0" i="0" u="none" strike="noStrike" baseline="0">
                <a:solidFill>
                  <a:sysClr val="windowText" lastClr="000000"/>
                </a:solidFill>
              </a:rPr>
              <a:t>Auditor-General/Taskforce Sweep &amp; ICAC/FIU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Tables!$D$118</c:f>
              <c:strCache>
                <c:ptCount val="1"/>
                <c:pt idx="0">
                  <c:v>Ombudsman Commission Actual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B9-4CBC-B1C1-7C3CB5E418F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47B9-4CBC-B1C1-7C3CB5E418F6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B69A-426E-BB05-DB3524A03118}"/>
              </c:ext>
            </c:extLst>
          </c:dPt>
          <c:cat>
            <c:numRef>
              <c:f>Tables!$E$117:$P$117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Tables!$E$118:$P$118</c:f>
              <c:numCache>
                <c:formatCode>#,##0.0</c:formatCode>
                <c:ptCount val="12"/>
                <c:pt idx="0">
                  <c:v>18.116883669106599</c:v>
                </c:pt>
                <c:pt idx="1">
                  <c:v>20.004651793345321</c:v>
                </c:pt>
                <c:pt idx="2">
                  <c:v>19.033480554776645</c:v>
                </c:pt>
                <c:pt idx="3">
                  <c:v>19.135389894216832</c:v>
                </c:pt>
                <c:pt idx="4">
                  <c:v>21.751769601732239</c:v>
                </c:pt>
                <c:pt idx="5">
                  <c:v>21.426525250624</c:v>
                </c:pt>
                <c:pt idx="6">
                  <c:v>20.900082948221275</c:v>
                </c:pt>
                <c:pt idx="7">
                  <c:v>20.3986276666616</c:v>
                </c:pt>
                <c:pt idx="8">
                  <c:v>20.008168700616388</c:v>
                </c:pt>
                <c:pt idx="9">
                  <c:v>21.729745296042115</c:v>
                </c:pt>
                <c:pt idx="10" formatCode="0.00">
                  <c:v>20.132000000000001</c:v>
                </c:pt>
                <c:pt idx="11" formatCode="0.00">
                  <c:v>24.817141151649679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9-4CBC-B1C1-7C3CB5E418F6}"/>
            </c:ext>
          </c:extLst>
        </c:ser>
        <c:ser>
          <c:idx val="1"/>
          <c:order val="1"/>
          <c:tx>
            <c:strRef>
              <c:f>Tables!$D$119</c:f>
              <c:strCache>
                <c:ptCount val="1"/>
                <c:pt idx="0">
                  <c:v>Fraud and Corruption Actual/Fraud Squad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B9-4CBC-B1C1-7C3CB5E418F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47B9-4CBC-B1C1-7C3CB5E418F6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7-B69A-426E-BB05-DB3524A03118}"/>
              </c:ext>
            </c:extLst>
          </c:dPt>
          <c:cat>
            <c:numRef>
              <c:f>Tables!$E$117:$P$117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Tables!$E$119:$P$119</c:f>
              <c:numCache>
                <c:formatCode>#,##0.0</c:formatCode>
                <c:ptCount val="12"/>
                <c:pt idx="0">
                  <c:v>0.81148112996267419</c:v>
                </c:pt>
                <c:pt idx="1">
                  <c:v>0.20560336565382692</c:v>
                </c:pt>
                <c:pt idx="2">
                  <c:v>0.65085285002480542</c:v>
                </c:pt>
                <c:pt idx="3">
                  <c:v>0.93872703646029132</c:v>
                </c:pt>
                <c:pt idx="4">
                  <c:v>0.67522618503379317</c:v>
                </c:pt>
                <c:pt idx="5">
                  <c:v>0.52856512157568425</c:v>
                </c:pt>
                <c:pt idx="6">
                  <c:v>1.0166332482958234</c:v>
                </c:pt>
                <c:pt idx="7">
                  <c:v>1.13239731533437</c:v>
                </c:pt>
                <c:pt idx="8">
                  <c:v>1.8848338775938824</c:v>
                </c:pt>
                <c:pt idx="9">
                  <c:v>1.3257297130119725</c:v>
                </c:pt>
                <c:pt idx="10" formatCode="0.00">
                  <c:v>0.68989999999999996</c:v>
                </c:pt>
                <c:pt idx="11" formatCode="0.00">
                  <c:v>0.64127614640616304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B9-4CBC-B1C1-7C3CB5E418F6}"/>
            </c:ext>
          </c:extLst>
        </c:ser>
        <c:ser>
          <c:idx val="2"/>
          <c:order val="2"/>
          <c:tx>
            <c:strRef>
              <c:f>Tables!$D$120</c:f>
              <c:strCache>
                <c:ptCount val="1"/>
                <c:pt idx="0">
                  <c:v>Auditor General Actual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B9-4CBC-B1C1-7C3CB5E418F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47B9-4CBC-B1C1-7C3CB5E418F6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B69A-426E-BB05-DB3524A03118}"/>
              </c:ext>
            </c:extLst>
          </c:dPt>
          <c:cat>
            <c:numRef>
              <c:f>Tables!$E$117:$P$117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Tables!$E$120:$P$120</c:f>
              <c:numCache>
                <c:formatCode>#,##0.0</c:formatCode>
                <c:ptCount val="12"/>
                <c:pt idx="0">
                  <c:v>24.01524097193272</c:v>
                </c:pt>
                <c:pt idx="1">
                  <c:v>20.283491562288177</c:v>
                </c:pt>
                <c:pt idx="2">
                  <c:v>19.75428551282328</c:v>
                </c:pt>
                <c:pt idx="3">
                  <c:v>20.991556462438925</c:v>
                </c:pt>
                <c:pt idx="4">
                  <c:v>22.125515614411846</c:v>
                </c:pt>
                <c:pt idx="5">
                  <c:v>27.629002717994862</c:v>
                </c:pt>
                <c:pt idx="6">
                  <c:v>22.314695304105939</c:v>
                </c:pt>
                <c:pt idx="7">
                  <c:v>20.869797381784821</c:v>
                </c:pt>
                <c:pt idx="8">
                  <c:v>24.571415904266996</c:v>
                </c:pt>
                <c:pt idx="9">
                  <c:v>18.059996090452977</c:v>
                </c:pt>
                <c:pt idx="10" formatCode="0.00">
                  <c:v>17.693999999999999</c:v>
                </c:pt>
                <c:pt idx="11" formatCode="0.00">
                  <c:v>18.868570131878251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B9-4CBC-B1C1-7C3CB5E418F6}"/>
            </c:ext>
          </c:extLst>
        </c:ser>
        <c:ser>
          <c:idx val="3"/>
          <c:order val="3"/>
          <c:tx>
            <c:strRef>
              <c:f>Tables!$D$121</c:f>
              <c:strCache>
                <c:ptCount val="1"/>
                <c:pt idx="0">
                  <c:v>Taskforce Sweep &amp; ICAC Actual 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47B9-4CBC-B1C1-7C3CB5E418F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47B9-4CBC-B1C1-7C3CB5E418F6}"/>
              </c:ext>
            </c:extLst>
          </c:dPt>
          <c:cat>
            <c:numRef>
              <c:f>Tables!$E$117:$P$117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Tables!$E$121:$P$121</c:f>
              <c:numCache>
                <c:formatCode>#,##0.0</c:formatCode>
                <c:ptCount val="12"/>
                <c:pt idx="3">
                  <c:v>7.5285077592224683</c:v>
                </c:pt>
                <c:pt idx="4">
                  <c:v>3.7250433157436187</c:v>
                </c:pt>
                <c:pt idx="5">
                  <c:v>7.6895104974081177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0.5</c:v>
                </c:pt>
                <c:pt idx="11" formatCode="0.00">
                  <c:v>0.38095235477242584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B9-4CBC-B1C1-7C3CB5E418F6}"/>
            </c:ext>
          </c:extLst>
        </c:ser>
        <c:ser>
          <c:idx val="4"/>
          <c:order val="4"/>
          <c:tx>
            <c:strRef>
              <c:f>Tables!$D$122</c:f>
              <c:strCache>
                <c:ptCount val="1"/>
                <c:pt idx="0">
                  <c:v>Financial Intelligence Unit (FIU)/FASU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7B9-4CBC-B1C1-7C3CB5E418F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47B9-4CBC-B1C1-7C3CB5E418F6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B69A-426E-BB05-DB3524A03118}"/>
              </c:ext>
            </c:extLst>
          </c:dPt>
          <c:cat>
            <c:numRef>
              <c:f>Tables!$E$117:$P$117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Tables!$E$122:$P$122</c:f>
              <c:numCache>
                <c:formatCode>#,##0.0</c:formatCode>
                <c:ptCount val="12"/>
                <c:pt idx="6">
                  <c:v>0.3105630303149487</c:v>
                </c:pt>
                <c:pt idx="7">
                  <c:v>0.26436384016137005</c:v>
                </c:pt>
                <c:pt idx="8">
                  <c:v>0.43581822169680728</c:v>
                </c:pt>
                <c:pt idx="9">
                  <c:v>0.22196995194893951</c:v>
                </c:pt>
                <c:pt idx="10" formatCode="0.00">
                  <c:v>0.29899999999999999</c:v>
                </c:pt>
                <c:pt idx="11" formatCode="0.00">
                  <c:v>0.28419045666022963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7B9-4CBC-B1C1-7C3CB5E41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84128"/>
        <c:axId val="158385664"/>
      </c:lineChart>
      <c:catAx>
        <c:axId val="1583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8385664"/>
        <c:crosses val="autoZero"/>
        <c:auto val="1"/>
        <c:lblAlgn val="ctr"/>
        <c:lblOffset val="100"/>
        <c:noMultiLvlLbl val="0"/>
      </c:catAx>
      <c:valAx>
        <c:axId val="15838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Millions</a:t>
                </a:r>
                <a:r>
                  <a:rPr lang="en-AU" b="0" baseline="0"/>
                  <a:t> of Kina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1.2475082577843206E-2"/>
              <c:y val="0.34245760656740221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158384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Total Anti-corruption Spending - </a:t>
            </a:r>
            <a:r>
              <a:rPr lang="en-AU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Ombudsman Commission/National Fraud and Corruption (Fraud Squad)/Auditor-General/Taskforce Sweep &amp; ICAC/FIU</a:t>
            </a:r>
          </a:p>
        </c:rich>
      </c:tx>
      <c:layout>
        <c:manualLayout>
          <c:xMode val="edge"/>
          <c:yMode val="edge"/>
          <c:x val="0.14485400156119801"/>
          <c:y val="4.38292852789508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216477725926858E-2"/>
          <c:y val="0.31129962421155949"/>
          <c:w val="0.87762220661186763"/>
          <c:h val="0.4955958069366288"/>
        </c:manualLayout>
      </c:layout>
      <c:lineChart>
        <c:grouping val="standard"/>
        <c:varyColors val="0"/>
        <c:ser>
          <c:idx val="0"/>
          <c:order val="0"/>
          <c:tx>
            <c:strRef>
              <c:f>Tables!$D$51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Tables!$E$50:$P$50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Tables!$E$51:$P$51</c:f>
              <c:numCache>
                <c:formatCode>0</c:formatCode>
                <c:ptCount val="12"/>
                <c:pt idx="0">
                  <c:v>38.461052041785834</c:v>
                </c:pt>
                <c:pt idx="1">
                  <c:v>44.691007937601874</c:v>
                </c:pt>
                <c:pt idx="2">
                  <c:v>43.566118192661925</c:v>
                </c:pt>
                <c:pt idx="3">
                  <c:v>45.389100993808327</c:v>
                </c:pt>
                <c:pt idx="4">
                  <c:v>63.417173681215885</c:v>
                </c:pt>
                <c:pt idx="5">
                  <c:v>75.032205572642354</c:v>
                </c:pt>
                <c:pt idx="6">
                  <c:v>71.702172611605022</c:v>
                </c:pt>
                <c:pt idx="7">
                  <c:v>68.24023256915315</c:v>
                </c:pt>
                <c:pt idx="8">
                  <c:v>51.391711162485798</c:v>
                </c:pt>
                <c:pt idx="9">
                  <c:v>40.703031188790206</c:v>
                </c:pt>
                <c:pt idx="10">
                  <c:v>39.314900000000002</c:v>
                </c:pt>
                <c:pt idx="11">
                  <c:v>44.992130241366745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5-43A3-B4C3-37761F79C840}"/>
            </c:ext>
          </c:extLst>
        </c:ser>
        <c:ser>
          <c:idx val="1"/>
          <c:order val="1"/>
          <c:tx>
            <c:strRef>
              <c:f>Tables!$D$52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Tables!$E$50:$P$50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Tables!$E$52:$P$52</c:f>
              <c:numCache>
                <c:formatCode>0</c:formatCode>
                <c:ptCount val="12"/>
                <c:pt idx="0">
                  <c:v>47.345322287798723</c:v>
                </c:pt>
                <c:pt idx="1">
                  <c:v>44.644352860896433</c:v>
                </c:pt>
                <c:pt idx="2">
                  <c:v>43.481074532904799</c:v>
                </c:pt>
                <c:pt idx="3">
                  <c:v>53.575081241145156</c:v>
                </c:pt>
                <c:pt idx="4">
                  <c:v>53.226000618768111</c:v>
                </c:pt>
                <c:pt idx="5">
                  <c:v>63.144143854583511</c:v>
                </c:pt>
                <c:pt idx="6">
                  <c:v>49.107523731186113</c:v>
                </c:pt>
                <c:pt idx="7">
                  <c:v>47.03836473504991</c:v>
                </c:pt>
                <c:pt idx="8">
                  <c:v>46.900236704174077</c:v>
                </c:pt>
                <c:pt idx="9">
                  <c:v>41.337441051456004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5-43A3-B4C3-37761F79C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99488"/>
        <c:axId val="158790400"/>
      </c:lineChart>
      <c:catAx>
        <c:axId val="1583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8790400"/>
        <c:crosses val="autoZero"/>
        <c:auto val="1"/>
        <c:lblAlgn val="ctr"/>
        <c:lblOffset val="100"/>
        <c:noMultiLvlLbl val="0"/>
      </c:catAx>
      <c:valAx>
        <c:axId val="15879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Millions</a:t>
                </a:r>
                <a:r>
                  <a:rPr lang="en-AU" b="0" baseline="0"/>
                  <a:t> of Kina 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1.4739019057767177E-2"/>
              <c:y val="0.3611669018777558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58399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Ombudsman Commission</a:t>
            </a:r>
            <a:endParaRPr lang="en-AU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Tables!$D$36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Tables!$E$35:$P$35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Tables!$E$36:$P$36</c:f>
              <c:numCache>
                <c:formatCode>#,##0.0</c:formatCode>
                <c:ptCount val="12"/>
                <c:pt idx="0">
                  <c:v>19.313996073488777</c:v>
                </c:pt>
                <c:pt idx="1">
                  <c:v>22.055127169844681</c:v>
                </c:pt>
                <c:pt idx="2">
                  <c:v>20.984410948857871</c:v>
                </c:pt>
                <c:pt idx="3">
                  <c:v>21.096765988294049</c:v>
                </c:pt>
                <c:pt idx="4">
                  <c:v>23.981324428498898</c:v>
                </c:pt>
                <c:pt idx="5">
                  <c:v>23.626655332276751</c:v>
                </c:pt>
                <c:pt idx="6">
                  <c:v>22.440298277856336</c:v>
                </c:pt>
                <c:pt idx="7">
                  <c:v>25.91830234617311</c:v>
                </c:pt>
                <c:pt idx="8">
                  <c:v>22.436094042940471</c:v>
                </c:pt>
                <c:pt idx="9">
                  <c:v>19.618615753049976</c:v>
                </c:pt>
                <c:pt idx="10">
                  <c:v>20.132000000000001</c:v>
                </c:pt>
                <c:pt idx="11">
                  <c:v>24.817141151649679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67-483C-9ED0-53E39FBDFF2F}"/>
            </c:ext>
          </c:extLst>
        </c:ser>
        <c:ser>
          <c:idx val="1"/>
          <c:order val="1"/>
          <c:tx>
            <c:strRef>
              <c:f>Tables!$D$37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Tables!$E$35:$P$35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Tables!$E$37:$P$37</c:f>
              <c:numCache>
                <c:formatCode>#,##0.0</c:formatCode>
                <c:ptCount val="12"/>
                <c:pt idx="0">
                  <c:v>19.97386294803432</c:v>
                </c:pt>
                <c:pt idx="1">
                  <c:v>22.055127169844681</c:v>
                </c:pt>
                <c:pt idx="2">
                  <c:v>20.984410948857871</c:v>
                </c:pt>
                <c:pt idx="3">
                  <c:v>21.096765988294049</c:v>
                </c:pt>
                <c:pt idx="4">
                  <c:v>23.981324428498898</c:v>
                </c:pt>
                <c:pt idx="5">
                  <c:v>23.622742554689292</c:v>
                </c:pt>
                <c:pt idx="6">
                  <c:v>23.042339953983205</c:v>
                </c:pt>
                <c:pt idx="7">
                  <c:v>22.489485541967504</c:v>
                </c:pt>
                <c:pt idx="8">
                  <c:v>20.008168700616388</c:v>
                </c:pt>
                <c:pt idx="9">
                  <c:v>21.729745296042115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7-483C-9ED0-53E39FBD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206720"/>
        <c:axId val="172220800"/>
      </c:lineChart>
      <c:catAx>
        <c:axId val="172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2220800"/>
        <c:crosses val="autoZero"/>
        <c:auto val="1"/>
        <c:lblAlgn val="ctr"/>
        <c:lblOffset val="100"/>
        <c:noMultiLvlLbl val="0"/>
      </c:catAx>
      <c:valAx>
        <c:axId val="172220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90304432881685E-2"/>
              <c:y val="0.33913139181805974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172206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National Fraud and Corruption (Fraud Squad)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Tables!$D$41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Tables!$E$40:$P$40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Tables!$E$41:$P$41</c:f>
              <c:numCache>
                <c:formatCode>#,##0.00</c:formatCode>
                <c:ptCount val="12"/>
                <c:pt idx="0">
                  <c:v>0.29222915798148236</c:v>
                </c:pt>
                <c:pt idx="1">
                  <c:v>0.27333277261773326</c:v>
                </c:pt>
                <c:pt idx="2">
                  <c:v>0.80260888030888022</c:v>
                </c:pt>
                <c:pt idx="3">
                  <c:v>1.1491455086555502</c:v>
                </c:pt>
                <c:pt idx="4">
                  <c:v>1.3529365756756169</c:v>
                </c:pt>
                <c:pt idx="5">
                  <c:v>1.3024332329457116</c:v>
                </c:pt>
                <c:pt idx="6">
                  <c:v>1.3823421942180454</c:v>
                </c:pt>
                <c:pt idx="7">
                  <c:v>1.8128086662180418</c:v>
                </c:pt>
                <c:pt idx="8">
                  <c:v>1.8675246287179912</c:v>
                </c:pt>
                <c:pt idx="9">
                  <c:v>1.4723096812809982</c:v>
                </c:pt>
                <c:pt idx="10">
                  <c:v>0.68989999999999996</c:v>
                </c:pt>
                <c:pt idx="11">
                  <c:v>0.64127614640616304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3D1-A9C7-E78D33A9BFD4}"/>
            </c:ext>
          </c:extLst>
        </c:ser>
        <c:ser>
          <c:idx val="1"/>
          <c:order val="1"/>
          <c:tx>
            <c:strRef>
              <c:f>Tables!$D$42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Tables!$E$40:$P$40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Tables!$E$42:$P$42</c:f>
              <c:numCache>
                <c:formatCode>#,##0.00</c:formatCode>
                <c:ptCount val="12"/>
                <c:pt idx="0">
                  <c:v>0.89465788768238896</c:v>
                </c:pt>
                <c:pt idx="1">
                  <c:v>0.22667769591229261</c:v>
                </c:pt>
                <c:pt idx="2">
                  <c:v>0.71756522055175676</c:v>
                </c:pt>
                <c:pt idx="3">
                  <c:v>1.0349464904852976</c:v>
                </c:pt>
                <c:pt idx="4">
                  <c:v>0.74443682065405281</c:v>
                </c:pt>
                <c:pt idx="5">
                  <c:v>0.58274300869231321</c:v>
                </c:pt>
                <c:pt idx="6">
                  <c:v>1.1208380834559433</c:v>
                </c:pt>
                <c:pt idx="7">
                  <c:v>1.2484679590773169</c:v>
                </c:pt>
                <c:pt idx="8">
                  <c:v>1.8848338775938824</c:v>
                </c:pt>
                <c:pt idx="9">
                  <c:v>1.3257297130119725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E-43D1-A9C7-E78D33A9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40960"/>
        <c:axId val="174042496"/>
      </c:lineChart>
      <c:catAx>
        <c:axId val="1740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4042496"/>
        <c:crosses val="autoZero"/>
        <c:auto val="1"/>
        <c:lblAlgn val="ctr"/>
        <c:lblOffset val="100"/>
        <c:noMultiLvlLbl val="0"/>
      </c:catAx>
      <c:valAx>
        <c:axId val="174042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2334801476873948E-2"/>
              <c:y val="0.34440697989535413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74040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Auditor-General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Tables!$D$46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Tables!$E$45:$P$45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Tables!$E$46:$P$46</c:f>
              <c:numCache>
                <c:formatCode>#,##0.0</c:formatCode>
                <c:ptCount val="12"/>
                <c:pt idx="0">
                  <c:v>18.854826810315576</c:v>
                </c:pt>
                <c:pt idx="1">
                  <c:v>22.362547995139458</c:v>
                </c:pt>
                <c:pt idx="2">
                  <c:v>21.779098363495176</c:v>
                </c:pt>
                <c:pt idx="3">
                  <c:v>23.143189496858724</c:v>
                </c:pt>
                <c:pt idx="4">
                  <c:v>31.238146028879797</c:v>
                </c:pt>
                <c:pt idx="5">
                  <c:v>24.017933091022709</c:v>
                </c:pt>
                <c:pt idx="6">
                  <c:v>22.29895474854343</c:v>
                </c:pt>
                <c:pt idx="7">
                  <c:v>33.878439626393309</c:v>
                </c:pt>
                <c:pt idx="8">
                  <c:v>26.380618286772592</c:v>
                </c:pt>
                <c:pt idx="9">
                  <c:v>18.061046090225677</c:v>
                </c:pt>
                <c:pt idx="10">
                  <c:v>17.693999999999999</c:v>
                </c:pt>
                <c:pt idx="11">
                  <c:v>18.868570131878251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3-4F6D-A0C4-59870FFC7DAC}"/>
            </c:ext>
          </c:extLst>
        </c:ser>
        <c:ser>
          <c:idx val="1"/>
          <c:order val="1"/>
          <c:tx>
            <c:strRef>
              <c:f>Tables!$D$47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Tables!$E$45:$P$45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Tables!$E$47:$P$47</c:f>
              <c:numCache>
                <c:formatCode>#,##0.0</c:formatCode>
                <c:ptCount val="12"/>
                <c:pt idx="0">
                  <c:v>26.476801452082018</c:v>
                </c:pt>
                <c:pt idx="1">
                  <c:v>22.362547995139458</c:v>
                </c:pt>
                <c:pt idx="2">
                  <c:v>21.779098363495176</c:v>
                </c:pt>
                <c:pt idx="3">
                  <c:v>23.143189496858724</c:v>
                </c:pt>
                <c:pt idx="4">
                  <c:v>24.393379380718219</c:v>
                </c:pt>
                <c:pt idx="5">
                  <c:v>30.460973518372818</c:v>
                </c:pt>
                <c:pt idx="6">
                  <c:v>24.601949975060826</c:v>
                </c:pt>
                <c:pt idx="7">
                  <c:v>23.008950119155436</c:v>
                </c:pt>
                <c:pt idx="8">
                  <c:v>24.571415904266996</c:v>
                </c:pt>
                <c:pt idx="9">
                  <c:v>18.059996090452977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3-4F6D-A0C4-59870FFC7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38752"/>
        <c:axId val="176540288"/>
      </c:lineChart>
      <c:catAx>
        <c:axId val="1765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540288"/>
        <c:crosses val="autoZero"/>
        <c:auto val="1"/>
        <c:lblAlgn val="ctr"/>
        <c:lblOffset val="100"/>
        <c:noMultiLvlLbl val="0"/>
      </c:catAx>
      <c:valAx>
        <c:axId val="17654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1847676199588876E-2"/>
              <c:y val="0.32249034151823525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176538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Attorney General compared to AC spending/allocations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Tables!$D$56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Tables!$E$55:$P$55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Tables!$E$56:$P$56</c:f>
              <c:numCache>
                <c:formatCode>#,##0.0</c:formatCode>
                <c:ptCount val="12"/>
                <c:pt idx="0">
                  <c:v>54.121175953754424</c:v>
                </c:pt>
                <c:pt idx="1">
                  <c:v>52.82391462538228</c:v>
                </c:pt>
                <c:pt idx="2">
                  <c:v>48.881421658290364</c:v>
                </c:pt>
                <c:pt idx="3">
                  <c:v>157.17963611167335</c:v>
                </c:pt>
                <c:pt idx="4">
                  <c:v>193.49470837687957</c:v>
                </c:pt>
                <c:pt idx="5">
                  <c:v>164.81140902058073</c:v>
                </c:pt>
                <c:pt idx="6">
                  <c:v>142.2589795159119</c:v>
                </c:pt>
                <c:pt idx="7">
                  <c:v>202.91373228732903</c:v>
                </c:pt>
                <c:pt idx="8">
                  <c:v>175.73859883706871</c:v>
                </c:pt>
                <c:pt idx="9">
                  <c:v>168.17426359438903</c:v>
                </c:pt>
                <c:pt idx="10">
                  <c:v>136.392</c:v>
                </c:pt>
                <c:pt idx="11">
                  <c:v>154.5657036635902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9A-49B3-B09A-35B48E5CEFC6}"/>
            </c:ext>
          </c:extLst>
        </c:ser>
        <c:ser>
          <c:idx val="1"/>
          <c:order val="1"/>
          <c:tx>
            <c:strRef>
              <c:f>Tables!$D$57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Tables!$E$55:$P$55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Tables!$E$57:$P$57</c:f>
              <c:numCache>
                <c:formatCode>#,##0.0</c:formatCode>
                <c:ptCount val="12"/>
                <c:pt idx="0">
                  <c:v>64.28033788840952</c:v>
                </c:pt>
                <c:pt idx="1">
                  <c:v>55.753602102003377</c:v>
                </c:pt>
                <c:pt idx="2">
                  <c:v>58.384789078320132</c:v>
                </c:pt>
                <c:pt idx="3">
                  <c:v>163.47489276494329</c:v>
                </c:pt>
                <c:pt idx="4">
                  <c:v>93.379044520879475</c:v>
                </c:pt>
                <c:pt idx="5">
                  <c:v>130.99979362814668</c:v>
                </c:pt>
                <c:pt idx="6">
                  <c:v>123.45632605687561</c:v>
                </c:pt>
                <c:pt idx="7">
                  <c:v>126.81129524238391</c:v>
                </c:pt>
                <c:pt idx="8">
                  <c:v>140.72639836085398</c:v>
                </c:pt>
                <c:pt idx="9">
                  <c:v>119.33037416789534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A-49B3-B09A-35B48E5CEFC6}"/>
            </c:ext>
          </c:extLst>
        </c:ser>
        <c:ser>
          <c:idx val="2"/>
          <c:order val="2"/>
          <c:tx>
            <c:strRef>
              <c:f>Tables!$D$58</c:f>
              <c:strCache>
                <c:ptCount val="1"/>
                <c:pt idx="0">
                  <c:v>AC Actual(solid)/Budgeted (dashed)</c:v>
                </c:pt>
              </c:strCache>
            </c:strRef>
          </c:tx>
          <c:marker>
            <c:symbol val="none"/>
          </c:marker>
          <c:dPt>
            <c:idx val="9"/>
            <c:bubble3D val="0"/>
            <c:spPr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9A-49B3-B09A-35B48E5CEFC6}"/>
              </c:ext>
            </c:extLst>
          </c:dPt>
          <c:dPt>
            <c:idx val="10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989A-49B3-B09A-35B48E5CEFC6}"/>
              </c:ext>
            </c:extLst>
          </c:dPt>
          <c:dPt>
            <c:idx val="11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8539-487D-B201-6EF5771355ED}"/>
              </c:ext>
            </c:extLst>
          </c:dPt>
          <c:cat>
            <c:numRef>
              <c:f>Tables!$E$55:$P$55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Tables!$E$58:$P$58</c:f>
              <c:numCache>
                <c:formatCode>#,##0.0</c:formatCode>
                <c:ptCount val="12"/>
                <c:pt idx="0">
                  <c:v>47.345322287798723</c:v>
                </c:pt>
                <c:pt idx="1">
                  <c:v>44.644352860896433</c:v>
                </c:pt>
                <c:pt idx="2">
                  <c:v>43.481074532904799</c:v>
                </c:pt>
                <c:pt idx="3">
                  <c:v>53.575081241145156</c:v>
                </c:pt>
                <c:pt idx="4">
                  <c:v>53.226000618768111</c:v>
                </c:pt>
                <c:pt idx="5">
                  <c:v>63.144143854583511</c:v>
                </c:pt>
                <c:pt idx="6">
                  <c:v>49.107523731186113</c:v>
                </c:pt>
                <c:pt idx="7">
                  <c:v>47.03836473504991</c:v>
                </c:pt>
                <c:pt idx="8">
                  <c:v>46.900236704174077</c:v>
                </c:pt>
                <c:pt idx="9">
                  <c:v>41.337441051456004</c:v>
                </c:pt>
                <c:pt idx="10">
                  <c:v>39.314900000000002</c:v>
                </c:pt>
                <c:pt idx="11">
                  <c:v>44.992130241366745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9A-49B3-B09A-35B48E5C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621888"/>
        <c:axId val="179623424"/>
      </c:lineChart>
      <c:catAx>
        <c:axId val="1796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9623424"/>
        <c:crosses val="autoZero"/>
        <c:auto val="1"/>
        <c:lblAlgn val="ctr"/>
        <c:lblOffset val="100"/>
        <c:noMultiLvlLbl val="0"/>
      </c:catAx>
      <c:valAx>
        <c:axId val="179623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4263858927386689E-2"/>
              <c:y val="0.33120269005959968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179621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baseline="0">
                <a:solidFill>
                  <a:sysClr val="windowText" lastClr="000000"/>
                </a:solidFill>
              </a:rPr>
              <a:t>Attorney General</a:t>
            </a:r>
            <a:endParaRPr lang="en-AU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Tables!$D$56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cat>
            <c:numRef>
              <c:f>Tables!$E$55:$P$55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Tables!$E$56:$P$56</c:f>
              <c:numCache>
                <c:formatCode>#,##0.0</c:formatCode>
                <c:ptCount val="12"/>
                <c:pt idx="0">
                  <c:v>54.121175953754424</c:v>
                </c:pt>
                <c:pt idx="1">
                  <c:v>52.82391462538228</c:v>
                </c:pt>
                <c:pt idx="2">
                  <c:v>48.881421658290364</c:v>
                </c:pt>
                <c:pt idx="3">
                  <c:v>157.17963611167335</c:v>
                </c:pt>
                <c:pt idx="4">
                  <c:v>193.49470837687957</c:v>
                </c:pt>
                <c:pt idx="5">
                  <c:v>164.81140902058073</c:v>
                </c:pt>
                <c:pt idx="6">
                  <c:v>142.2589795159119</c:v>
                </c:pt>
                <c:pt idx="7">
                  <c:v>202.91373228732903</c:v>
                </c:pt>
                <c:pt idx="8">
                  <c:v>175.73859883706871</c:v>
                </c:pt>
                <c:pt idx="9">
                  <c:v>168.17426359438903</c:v>
                </c:pt>
                <c:pt idx="10">
                  <c:v>136.392</c:v>
                </c:pt>
                <c:pt idx="11">
                  <c:v>154.5657036635902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C-492C-BEBC-085337DD2863}"/>
            </c:ext>
          </c:extLst>
        </c:ser>
        <c:ser>
          <c:idx val="1"/>
          <c:order val="1"/>
          <c:tx>
            <c:strRef>
              <c:f>Tables!$D$57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Tables!$E$55:$P$55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Tables!$E$57:$P$57</c:f>
              <c:numCache>
                <c:formatCode>#,##0.0</c:formatCode>
                <c:ptCount val="12"/>
                <c:pt idx="0">
                  <c:v>64.28033788840952</c:v>
                </c:pt>
                <c:pt idx="1">
                  <c:v>55.753602102003377</c:v>
                </c:pt>
                <c:pt idx="2">
                  <c:v>58.384789078320132</c:v>
                </c:pt>
                <c:pt idx="3">
                  <c:v>163.47489276494329</c:v>
                </c:pt>
                <c:pt idx="4">
                  <c:v>93.379044520879475</c:v>
                </c:pt>
                <c:pt idx="5">
                  <c:v>130.99979362814668</c:v>
                </c:pt>
                <c:pt idx="6">
                  <c:v>123.45632605687561</c:v>
                </c:pt>
                <c:pt idx="7">
                  <c:v>126.81129524238391</c:v>
                </c:pt>
                <c:pt idx="8">
                  <c:v>140.72639836085398</c:v>
                </c:pt>
                <c:pt idx="9">
                  <c:v>119.33037416789534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C-492C-BEBC-085337DD2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468352"/>
        <c:axId val="202478336"/>
      </c:lineChart>
      <c:catAx>
        <c:axId val="2024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2478336"/>
        <c:crosses val="autoZero"/>
        <c:auto val="1"/>
        <c:lblAlgn val="ctr"/>
        <c:lblOffset val="100"/>
        <c:noMultiLvlLbl val="0"/>
      </c:catAx>
      <c:valAx>
        <c:axId val="202478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0" i="0" u="none" strike="noStrike" baseline="0">
                    <a:effectLst/>
                  </a:rPr>
                  <a:t>Millions of Kina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4365004586621544E-2"/>
              <c:y val="0.32441673205057209"/>
            </c:manualLayout>
          </c:layout>
          <c:overlay val="0"/>
        </c:title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202468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226785</xdr:colOff>
      <xdr:row>255</xdr:row>
      <xdr:rowOff>183209</xdr:rowOff>
    </xdr:from>
    <xdr:to>
      <xdr:col>7</xdr:col>
      <xdr:colOff>244929</xdr:colOff>
      <xdr:row>272</xdr:row>
      <xdr:rowOff>136071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34018</xdr:colOff>
      <xdr:row>148</xdr:row>
      <xdr:rowOff>98556</xdr:rowOff>
    </xdr:from>
    <xdr:to>
      <xdr:col>7</xdr:col>
      <xdr:colOff>272143</xdr:colOff>
      <xdr:row>166</xdr:row>
      <xdr:rowOff>13608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31512</xdr:colOff>
      <xdr:row>147</xdr:row>
      <xdr:rowOff>164001</xdr:rowOff>
    </xdr:from>
    <xdr:to>
      <xdr:col>13</xdr:col>
      <xdr:colOff>492724</xdr:colOff>
      <xdr:row>166</xdr:row>
      <xdr:rowOff>53712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21302</xdr:colOff>
      <xdr:row>167</xdr:row>
      <xdr:rowOff>118626</xdr:rowOff>
    </xdr:from>
    <xdr:to>
      <xdr:col>13</xdr:col>
      <xdr:colOff>394608</xdr:colOff>
      <xdr:row>183</xdr:row>
      <xdr:rowOff>68494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351517</xdr:colOff>
      <xdr:row>184</xdr:row>
      <xdr:rowOff>167378</xdr:rowOff>
    </xdr:from>
    <xdr:to>
      <xdr:col>7</xdr:col>
      <xdr:colOff>227979</xdr:colOff>
      <xdr:row>201</xdr:row>
      <xdr:rowOff>27214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184</xdr:row>
      <xdr:rowOff>163285</xdr:rowOff>
    </xdr:from>
    <xdr:to>
      <xdr:col>13</xdr:col>
      <xdr:colOff>530679</xdr:colOff>
      <xdr:row>201</xdr:row>
      <xdr:rowOff>46551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317500</xdr:colOff>
      <xdr:row>202</xdr:row>
      <xdr:rowOff>181943</xdr:rowOff>
    </xdr:from>
    <xdr:to>
      <xdr:col>7</xdr:col>
      <xdr:colOff>231320</xdr:colOff>
      <xdr:row>218</xdr:row>
      <xdr:rowOff>91706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9743</xdr:colOff>
      <xdr:row>238</xdr:row>
      <xdr:rowOff>6356</xdr:rowOff>
    </xdr:from>
    <xdr:to>
      <xdr:col>13</xdr:col>
      <xdr:colOff>598715</xdr:colOff>
      <xdr:row>253</xdr:row>
      <xdr:rowOff>176893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2598</xdr:colOff>
      <xdr:row>202</xdr:row>
      <xdr:rowOff>178879</xdr:rowOff>
    </xdr:from>
    <xdr:to>
      <xdr:col>13</xdr:col>
      <xdr:colOff>544285</xdr:colOff>
      <xdr:row>218</xdr:row>
      <xdr:rowOff>41891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306159</xdr:colOff>
      <xdr:row>220</xdr:row>
      <xdr:rowOff>4658</xdr:rowOff>
    </xdr:from>
    <xdr:to>
      <xdr:col>7</xdr:col>
      <xdr:colOff>244928</xdr:colOff>
      <xdr:row>236</xdr:row>
      <xdr:rowOff>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1142999</xdr:colOff>
      <xdr:row>220</xdr:row>
      <xdr:rowOff>33176</xdr:rowOff>
    </xdr:from>
    <xdr:to>
      <xdr:col>13</xdr:col>
      <xdr:colOff>585106</xdr:colOff>
      <xdr:row>236</xdr:row>
      <xdr:rowOff>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294821</xdr:colOff>
      <xdr:row>238</xdr:row>
      <xdr:rowOff>1</xdr:rowOff>
    </xdr:from>
    <xdr:to>
      <xdr:col>7</xdr:col>
      <xdr:colOff>258535</xdr:colOff>
      <xdr:row>253</xdr:row>
      <xdr:rowOff>132377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1139419</xdr:colOff>
      <xdr:row>256</xdr:row>
      <xdr:rowOff>12156</xdr:rowOff>
    </xdr:from>
    <xdr:to>
      <xdr:col>13</xdr:col>
      <xdr:colOff>598715</xdr:colOff>
      <xdr:row>272</xdr:row>
      <xdr:rowOff>108508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351517</xdr:colOff>
      <xdr:row>168</xdr:row>
      <xdr:rowOff>13606</xdr:rowOff>
    </xdr:from>
    <xdr:to>
      <xdr:col>7</xdr:col>
      <xdr:colOff>340179</xdr:colOff>
      <xdr:row>182</xdr:row>
      <xdr:rowOff>95248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830035</xdr:colOff>
      <xdr:row>167</xdr:row>
      <xdr:rowOff>122464</xdr:rowOff>
    </xdr:from>
    <xdr:to>
      <xdr:col>17</xdr:col>
      <xdr:colOff>11340</xdr:colOff>
      <xdr:row>184</xdr:row>
      <xdr:rowOff>124733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c.net.au/news/2015-02-04/png-anti-corruption-taskforce-starved-of-funding/607017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imf.org/external/pubs/ft/weo/2016/01/weodata/weorept.aspx?sy=1980&amp;ey=2021&amp;scsm=1&amp;ssd=1&amp;sort=country&amp;ds=.&amp;br=1&amp;pr1.x=39&amp;pr1.y=10&amp;c=853&amp;s=PCPI%2CPCPIPCH%2CPCPIE%2CPCPIEPCH&amp;grp=0&amp;a=" TargetMode="External"/><Relationship Id="rId1" Type="http://schemas.openxmlformats.org/officeDocument/2006/relationships/hyperlink" Target="https://devpolicy.crawford.anu.edu.au/png-project/png-budget-database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57"/>
  <sheetViews>
    <sheetView tabSelected="1" topLeftCell="D5" zoomScale="80" zoomScaleNormal="80" workbookViewId="0">
      <selection activeCell="P19" sqref="P19"/>
    </sheetView>
  </sheetViews>
  <sheetFormatPr defaultRowHeight="15"/>
  <cols>
    <col min="1" max="1" width="0" hidden="1" customWidth="1"/>
    <col min="2" max="2" width="61" customWidth="1"/>
    <col min="3" max="3" width="5.42578125" customWidth="1"/>
    <col min="4" max="4" width="47.42578125" customWidth="1"/>
    <col min="5" max="5" width="15.42578125" customWidth="1"/>
    <col min="6" max="6" width="13.42578125" customWidth="1"/>
    <col min="7" max="7" width="15.85546875" customWidth="1"/>
    <col min="8" max="8" width="17.140625" customWidth="1"/>
    <col min="9" max="9" width="18" customWidth="1"/>
    <col min="10" max="10" width="16.85546875" customWidth="1"/>
    <col min="11" max="11" width="17" customWidth="1"/>
    <col min="12" max="12" width="15.5703125" customWidth="1"/>
    <col min="13" max="13" width="17.28515625" customWidth="1"/>
    <col min="14" max="16" width="16.85546875" customWidth="1"/>
    <col min="17" max="17" width="67.42578125" customWidth="1"/>
    <col min="18" max="18" width="49" customWidth="1"/>
    <col min="19" max="19" width="17" bestFit="1" customWidth="1"/>
    <col min="20" max="21" width="10" bestFit="1" customWidth="1"/>
  </cols>
  <sheetData>
    <row r="1" spans="2:24" hidden="1"/>
    <row r="2" spans="2:24" hidden="1"/>
    <row r="3" spans="2:24" hidden="1"/>
    <row r="4" spans="2:24" hidden="1"/>
    <row r="5" spans="2:24" ht="21">
      <c r="B5" s="51" t="s">
        <v>21</v>
      </c>
    </row>
    <row r="6" spans="2:24">
      <c r="B6" s="64"/>
      <c r="C6" s="10"/>
      <c r="D6" s="10"/>
      <c r="E6" s="65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2:24" ht="18" customHeight="1">
      <c r="B7" s="10" t="s">
        <v>69</v>
      </c>
      <c r="C7" s="10"/>
      <c r="D7" s="10"/>
      <c r="E7" s="238" t="s">
        <v>61</v>
      </c>
      <c r="F7" s="238"/>
      <c r="G7" s="238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24">
      <c r="B8" t="s">
        <v>75</v>
      </c>
      <c r="C8" s="10"/>
      <c r="D8" s="10"/>
      <c r="E8" s="225">
        <v>2008</v>
      </c>
      <c r="F8" s="226">
        <v>2009</v>
      </c>
      <c r="G8" s="226">
        <v>2010</v>
      </c>
      <c r="H8" s="226">
        <v>2011</v>
      </c>
      <c r="I8" s="226">
        <v>2012</v>
      </c>
      <c r="J8" s="226">
        <v>2013</v>
      </c>
      <c r="K8" s="226">
        <v>2014</v>
      </c>
      <c r="L8" s="226">
        <v>2015</v>
      </c>
      <c r="M8" s="226">
        <v>2016</v>
      </c>
      <c r="N8" s="226">
        <v>2017</v>
      </c>
      <c r="O8" s="226">
        <v>2018</v>
      </c>
      <c r="P8" s="227">
        <v>2019</v>
      </c>
      <c r="Q8" s="1" t="s">
        <v>19</v>
      </c>
    </row>
    <row r="9" spans="2:24" s="2" customFormat="1">
      <c r="B9" s="66"/>
      <c r="C9" s="67"/>
      <c r="D9" s="67"/>
      <c r="E9" s="179"/>
      <c r="F9" s="67"/>
      <c r="G9" s="67"/>
      <c r="H9" s="67"/>
      <c r="I9" s="67"/>
      <c r="J9" s="67"/>
      <c r="K9" s="3"/>
      <c r="L9" s="3"/>
      <c r="M9" s="3"/>
      <c r="N9" s="67"/>
      <c r="O9" s="67"/>
      <c r="P9" s="180"/>
      <c r="Q9" s="67" t="s">
        <v>20</v>
      </c>
      <c r="V9" s="3"/>
      <c r="W9" s="3"/>
      <c r="X9" s="3"/>
    </row>
    <row r="10" spans="2:24" s="2" customFormat="1" ht="18" customHeight="1">
      <c r="B10" s="68" t="s">
        <v>31</v>
      </c>
      <c r="C10" s="67"/>
      <c r="D10" s="67"/>
      <c r="E10" s="181">
        <f>11500/1000</f>
        <v>11.5</v>
      </c>
      <c r="F10" s="69">
        <f>14040/1000</f>
        <v>14.04</v>
      </c>
      <c r="G10" s="69">
        <f>14040/1000</f>
        <v>14.04</v>
      </c>
      <c r="H10" s="69">
        <f>14742/1000</f>
        <v>14.742000000000001</v>
      </c>
      <c r="I10" s="69">
        <f>17518/1000</f>
        <v>17.518000000000001</v>
      </c>
      <c r="J10" s="69">
        <f>18115/1000</f>
        <v>18.114999999999998</v>
      </c>
      <c r="K10" s="69">
        <f>18115/1000</f>
        <v>18.114999999999998</v>
      </c>
      <c r="L10" s="69">
        <f>22178/1000</f>
        <v>22.178000000000001</v>
      </c>
      <c r="M10" s="69">
        <f>20350.2/1000</f>
        <v>20.350200000000001</v>
      </c>
      <c r="N10" s="69">
        <f>18684.4/1000</f>
        <v>18.6844</v>
      </c>
      <c r="O10" s="69">
        <v>20.132000000000001</v>
      </c>
      <c r="P10" s="182">
        <f>26058/1000</f>
        <v>26.058</v>
      </c>
      <c r="Q10" s="239"/>
    </row>
    <row r="11" spans="2:24" s="2" customFormat="1" ht="16.5" customHeight="1">
      <c r="B11" s="68" t="s">
        <v>32</v>
      </c>
      <c r="C11" s="67"/>
      <c r="D11" s="67"/>
      <c r="E11" s="183">
        <f>11892.9/1000</f>
        <v>11.892899999999999</v>
      </c>
      <c r="F11" s="70">
        <f xml:space="preserve"> 14040/1000</f>
        <v>14.04</v>
      </c>
      <c r="G11" s="69">
        <f>14040/1000</f>
        <v>14.04</v>
      </c>
      <c r="H11" s="69">
        <f>14742/1000</f>
        <v>14.742000000000001</v>
      </c>
      <c r="I11" s="69">
        <f>17518/1000</f>
        <v>17.518000000000001</v>
      </c>
      <c r="J11" s="69">
        <f>18112/1000</f>
        <v>18.111999999999998</v>
      </c>
      <c r="K11" s="69">
        <f>18601/1000</f>
        <v>18.600999999999999</v>
      </c>
      <c r="L11" s="70">
        <f>19244/1000</f>
        <v>19.244</v>
      </c>
      <c r="M11" s="69">
        <f>18148/1000</f>
        <v>18.148</v>
      </c>
      <c r="N11" s="128">
        <f>20695/1000</f>
        <v>20.695</v>
      </c>
      <c r="O11" s="69" t="s">
        <v>51</v>
      </c>
      <c r="P11" s="182"/>
      <c r="Q11" s="239"/>
      <c r="R11" s="129"/>
      <c r="V11" s="8"/>
      <c r="W11" s="7"/>
      <c r="X11" s="8"/>
    </row>
    <row r="12" spans="2:24" s="2" customFormat="1" ht="15" customHeight="1">
      <c r="B12" s="68" t="s">
        <v>33</v>
      </c>
      <c r="C12" s="67"/>
      <c r="D12" s="67"/>
      <c r="E12" s="181">
        <f>11689/1000</f>
        <v>11.689</v>
      </c>
      <c r="F12" s="70">
        <f>14040/1000</f>
        <v>14.04</v>
      </c>
      <c r="G12" s="72">
        <f>14040/1000</f>
        <v>14.04</v>
      </c>
      <c r="H12" s="72">
        <f>14742/1000</f>
        <v>14.742000000000001</v>
      </c>
      <c r="I12" s="69">
        <f>17518/1000</f>
        <v>17.518000000000001</v>
      </c>
      <c r="J12" s="72">
        <f>18115/1000</f>
        <v>18.114999999999998</v>
      </c>
      <c r="K12" s="72">
        <f>18115/1000</f>
        <v>18.114999999999998</v>
      </c>
      <c r="L12" s="70">
        <f>22178/1000</f>
        <v>22.178000000000001</v>
      </c>
      <c r="M12" s="72">
        <f>20350/1000</f>
        <v>20.350000000000001</v>
      </c>
      <c r="N12" s="69">
        <f>18684/1000</f>
        <v>18.684000000000001</v>
      </c>
      <c r="O12" s="69"/>
      <c r="P12" s="182"/>
      <c r="Q12" s="73"/>
      <c r="R12" s="130"/>
      <c r="V12" s="8"/>
      <c r="W12" s="7"/>
      <c r="X12" s="8"/>
    </row>
    <row r="13" spans="2:24" s="2" customFormat="1" ht="27.75" customHeight="1">
      <c r="B13" s="73"/>
      <c r="C13" s="67"/>
      <c r="D13" s="67"/>
      <c r="E13" s="179"/>
      <c r="F13" s="67"/>
      <c r="G13" s="67"/>
      <c r="H13" s="67"/>
      <c r="I13" s="67"/>
      <c r="J13" s="67"/>
      <c r="K13" s="67"/>
      <c r="L13" s="67"/>
      <c r="M13" s="168"/>
      <c r="N13" s="11"/>
      <c r="O13" s="11"/>
      <c r="P13" s="184"/>
      <c r="Q13" s="71"/>
      <c r="R13" s="233"/>
    </row>
    <row r="14" spans="2:24">
      <c r="B14" s="74" t="s">
        <v>70</v>
      </c>
      <c r="C14" s="10"/>
      <c r="D14" s="10"/>
      <c r="E14" s="185">
        <f>182030/1000</f>
        <v>182.03</v>
      </c>
      <c r="F14" s="186">
        <f>189803/1000</f>
        <v>189.803</v>
      </c>
      <c r="G14" s="187">
        <f>222243/1000</f>
        <v>222.24299999999999</v>
      </c>
      <c r="H14" s="188">
        <f>262706/1000</f>
        <v>262.70600000000002</v>
      </c>
      <c r="I14" s="186">
        <f>297933/1000</f>
        <v>297.93299999999999</v>
      </c>
      <c r="J14" s="186">
        <f>270251/1000</f>
        <v>270.25099999999998</v>
      </c>
      <c r="K14" s="186">
        <f>434300/1000</f>
        <v>434.3</v>
      </c>
      <c r="L14" s="186">
        <f>367179/1000</f>
        <v>367.17899999999997</v>
      </c>
      <c r="M14" s="186">
        <f>361295/1000</f>
        <v>361.29500000000002</v>
      </c>
      <c r="N14" s="189">
        <f>308893/1000</f>
        <v>308.89299999999997</v>
      </c>
      <c r="O14" s="189">
        <f>258470/1000</f>
        <v>258.47000000000003</v>
      </c>
      <c r="P14" s="190">
        <f>308638/1000</f>
        <v>308.63799999999998</v>
      </c>
      <c r="T14" s="10"/>
      <c r="V14" s="131"/>
    </row>
    <row r="15" spans="2:24" ht="18.75" customHeight="1">
      <c r="B15" s="74" t="s">
        <v>34</v>
      </c>
      <c r="C15" s="10"/>
      <c r="D15" s="10"/>
      <c r="E15" s="185">
        <f>208366/1000</f>
        <v>208.36600000000001</v>
      </c>
      <c r="F15" s="188">
        <f>210798.9/1000</f>
        <v>210.7989</v>
      </c>
      <c r="G15" s="186">
        <f>233003/1000</f>
        <v>233.00299999999999</v>
      </c>
      <c r="H15" s="188">
        <f>341874/1000</f>
        <v>341.87400000000002</v>
      </c>
      <c r="I15" s="186">
        <f>324027/1000</f>
        <v>324.02699999999999</v>
      </c>
      <c r="J15" s="186">
        <f>356041/1000</f>
        <v>356.041</v>
      </c>
      <c r="K15" s="75">
        <f>422080/1000</f>
        <v>422.08</v>
      </c>
      <c r="L15" s="75">
        <f>375557/1000</f>
        <v>375.55700000000002</v>
      </c>
      <c r="M15" s="189">
        <f>426895/1000</f>
        <v>426.89499999999998</v>
      </c>
      <c r="N15" s="189">
        <f>316429/1000</f>
        <v>316.42899999999997</v>
      </c>
      <c r="O15" s="189" t="s">
        <v>51</v>
      </c>
      <c r="P15" s="190"/>
      <c r="Q15" s="239"/>
      <c r="R15" s="130"/>
    </row>
    <row r="16" spans="2:24">
      <c r="B16" s="74" t="s">
        <v>35</v>
      </c>
      <c r="C16" s="10"/>
      <c r="D16" s="10"/>
      <c r="E16" s="185">
        <f>198246/1000</f>
        <v>198.24600000000001</v>
      </c>
      <c r="F16" s="186">
        <f>194053/1000</f>
        <v>194.053</v>
      </c>
      <c r="G16" s="188">
        <f>224364/1000</f>
        <v>224.364</v>
      </c>
      <c r="H16" s="186">
        <f>326879/1000</f>
        <v>326.87900000000002</v>
      </c>
      <c r="I16" s="186">
        <f>297933/1000</f>
        <v>297.93299999999999</v>
      </c>
      <c r="J16" s="186">
        <f>270251/1000</f>
        <v>270.25099999999998</v>
      </c>
      <c r="K16" s="186">
        <f>346985/1000</f>
        <v>346.98500000000001</v>
      </c>
      <c r="L16" s="75">
        <f>367179/1000</f>
        <v>367.17899999999997</v>
      </c>
      <c r="M16" s="186">
        <f>361295/1000</f>
        <v>361.29500000000002</v>
      </c>
      <c r="N16" s="189">
        <f>308893/1000</f>
        <v>308.89299999999997</v>
      </c>
      <c r="O16" s="189">
        <f>258470/1000</f>
        <v>258.47000000000003</v>
      </c>
      <c r="P16" s="190"/>
      <c r="Q16" s="239"/>
      <c r="R16" s="132"/>
    </row>
    <row r="17" spans="2:21">
      <c r="B17" s="76" t="s">
        <v>36</v>
      </c>
      <c r="E17" s="191">
        <f>174/1000</f>
        <v>0.17399999999999999</v>
      </c>
      <c r="F17" s="192">
        <f>174/1000</f>
        <v>0.17399999999999999</v>
      </c>
      <c r="G17" s="192">
        <f>537/1000</f>
        <v>0.53700000000000003</v>
      </c>
      <c r="H17" s="192">
        <f>803/1000</f>
        <v>0.80300000000000005</v>
      </c>
      <c r="I17" s="192">
        <f>988.3/1000</f>
        <v>0.98829999999999996</v>
      </c>
      <c r="J17" s="192">
        <f>998.6/1000</f>
        <v>0.99860000000000004</v>
      </c>
      <c r="K17" s="193">
        <f>1115.9/1000</f>
        <v>1.1159000000000001</v>
      </c>
      <c r="L17" s="193">
        <f>1551.2/1000</f>
        <v>1.5512000000000001</v>
      </c>
      <c r="M17" s="193">
        <f>1693.9/1000</f>
        <v>1.6939000000000002</v>
      </c>
      <c r="N17" s="193">
        <f>1402.2/1000</f>
        <v>1.4022000000000001</v>
      </c>
      <c r="O17" s="193">
        <f>689.9/1000</f>
        <v>0.68989999999999996</v>
      </c>
      <c r="P17" s="194">
        <f>673.34/1000</f>
        <v>0.67334000000000005</v>
      </c>
      <c r="R17" s="133"/>
    </row>
    <row r="18" spans="2:21">
      <c r="B18" s="76" t="s">
        <v>37</v>
      </c>
      <c r="C18" s="10"/>
      <c r="D18" s="10"/>
      <c r="E18" s="191">
        <f>532.7/1000</f>
        <v>0.53270000000000006</v>
      </c>
      <c r="F18" s="192">
        <f>144.3/1000</f>
        <v>0.14430000000000001</v>
      </c>
      <c r="G18" s="192">
        <f>480.1/1000</f>
        <v>0.48010000000000003</v>
      </c>
      <c r="H18" s="192">
        <f>723.2/1000</f>
        <v>0.72320000000000007</v>
      </c>
      <c r="I18" s="192">
        <f>543.8/1000</f>
        <v>0.54379999999999995</v>
      </c>
      <c r="J18" s="192">
        <f>446.8/1000</f>
        <v>0.44680000000000003</v>
      </c>
      <c r="K18" s="193">
        <f>904.8/1000</f>
        <v>0.90479999999999994</v>
      </c>
      <c r="L18" s="193">
        <f>1068.3/1000</f>
        <v>1.0683</v>
      </c>
      <c r="M18" s="193">
        <f>1709.6/1000</f>
        <v>1.7096</v>
      </c>
      <c r="N18" s="193">
        <f>1262.6/1000</f>
        <v>1.2625999999999999</v>
      </c>
      <c r="O18" s="193" t="s">
        <v>51</v>
      </c>
      <c r="P18" s="194"/>
      <c r="Q18" s="10"/>
      <c r="R18" s="133"/>
    </row>
    <row r="19" spans="2:21" ht="15.75" customHeight="1">
      <c r="B19" s="77" t="s">
        <v>59</v>
      </c>
      <c r="C19" s="10"/>
      <c r="D19" s="10"/>
      <c r="E19" s="195"/>
      <c r="F19" s="196"/>
      <c r="G19" s="196"/>
      <c r="H19" s="196"/>
      <c r="I19" s="196">
        <f>5000/1000</f>
        <v>5</v>
      </c>
      <c r="J19" s="196">
        <f>20000/1000</f>
        <v>20</v>
      </c>
      <c r="K19" s="196">
        <f>20000/1000</f>
        <v>20</v>
      </c>
      <c r="L19" s="196">
        <f>5000/1000</f>
        <v>5</v>
      </c>
      <c r="M19" s="196"/>
      <c r="N19" s="196">
        <f>1000/1000</f>
        <v>1</v>
      </c>
      <c r="O19" s="197">
        <f>500/1000</f>
        <v>0.5</v>
      </c>
      <c r="P19" s="198">
        <f>400/1000</f>
        <v>0.4</v>
      </c>
      <c r="Q19" s="146" t="s">
        <v>62</v>
      </c>
      <c r="R19" s="4"/>
    </row>
    <row r="20" spans="2:21" ht="15" customHeight="1">
      <c r="B20" s="77" t="s">
        <v>60</v>
      </c>
      <c r="C20" s="10"/>
      <c r="D20" s="10"/>
      <c r="E20" s="199"/>
      <c r="F20" s="197"/>
      <c r="G20" s="197"/>
      <c r="H20" s="197">
        <f>5800/1000</f>
        <v>5.8</v>
      </c>
      <c r="I20" s="197">
        <f>3000/1000</f>
        <v>3</v>
      </c>
      <c r="J20" s="197">
        <f>6500/1000</f>
        <v>6.5</v>
      </c>
      <c r="K20" s="197">
        <v>0</v>
      </c>
      <c r="L20" s="197"/>
      <c r="M20" s="197"/>
      <c r="N20" s="197"/>
      <c r="O20" s="197" t="s">
        <v>51</v>
      </c>
      <c r="P20" s="198"/>
      <c r="Q20" s="156" t="s">
        <v>63</v>
      </c>
      <c r="R20" s="134"/>
    </row>
    <row r="21" spans="2:21">
      <c r="B21" s="78" t="s">
        <v>46</v>
      </c>
      <c r="C21" s="10"/>
      <c r="D21" s="10"/>
      <c r="E21" s="200">
        <f>11226.6/1000</f>
        <v>11.226600000000001</v>
      </c>
      <c r="F21" s="201">
        <f>14235.7/1000</f>
        <v>14.235700000000001</v>
      </c>
      <c r="G21" s="202">
        <f>14571.7/1000</f>
        <v>14.5717</v>
      </c>
      <c r="H21" s="202">
        <f>16172/1000</f>
        <v>16.172000000000001</v>
      </c>
      <c r="I21" s="202">
        <f>22819/1000</f>
        <v>22.818999999999999</v>
      </c>
      <c r="J21" s="201">
        <f>18415/1000</f>
        <v>18.414999999999999</v>
      </c>
      <c r="K21" s="203">
        <f>18000.9/1000</f>
        <v>18.000900000000001</v>
      </c>
      <c r="L21" s="202">
        <f>28989.4/1000</f>
        <v>28.9894</v>
      </c>
      <c r="M21" s="203">
        <f>23928/1000</f>
        <v>23.928000000000001</v>
      </c>
      <c r="N21" s="201">
        <f>17201/1000</f>
        <v>17.201000000000001</v>
      </c>
      <c r="O21" s="201">
        <f>17694/1000</f>
        <v>17.693999999999999</v>
      </c>
      <c r="P21" s="204">
        <f>19812/1000</f>
        <v>19.812000000000001</v>
      </c>
      <c r="Q21" s="10"/>
      <c r="R21" s="135"/>
    </row>
    <row r="22" spans="2:21">
      <c r="B22" s="78" t="s">
        <v>38</v>
      </c>
      <c r="C22" s="10"/>
      <c r="D22" s="10"/>
      <c r="E22" s="200">
        <f>15764.9/1000</f>
        <v>15.764899999999999</v>
      </c>
      <c r="F22" s="202">
        <f>14235.7/1000</f>
        <v>14.235700000000001</v>
      </c>
      <c r="G22" s="202">
        <f>14571.7/1000</f>
        <v>14.5717</v>
      </c>
      <c r="H22" s="202">
        <f>16172/1000</f>
        <v>16.172000000000001</v>
      </c>
      <c r="I22" s="202">
        <f>17819/1000</f>
        <v>17.818999999999999</v>
      </c>
      <c r="J22" s="202">
        <f>23355/1000</f>
        <v>23.355</v>
      </c>
      <c r="K22" s="202">
        <f>19860/1000</f>
        <v>19.86</v>
      </c>
      <c r="L22" s="202">
        <f>19688.5/1000</f>
        <v>19.688500000000001</v>
      </c>
      <c r="M22" s="201">
        <f>22287/1000</f>
        <v>22.286999999999999</v>
      </c>
      <c r="N22" s="202">
        <f>17200/1000</f>
        <v>17.2</v>
      </c>
      <c r="O22" s="202" t="s">
        <v>51</v>
      </c>
      <c r="P22" s="204"/>
      <c r="Q22" s="71"/>
      <c r="R22" s="130"/>
    </row>
    <row r="23" spans="2:21">
      <c r="B23" s="78" t="s">
        <v>39</v>
      </c>
      <c r="C23" s="10"/>
      <c r="D23" s="10"/>
      <c r="E23" s="200">
        <f>15276/1000</f>
        <v>15.276</v>
      </c>
      <c r="F23" s="202">
        <f>14236/1000</f>
        <v>14.236000000000001</v>
      </c>
      <c r="G23" s="205">
        <f>14572/1000</f>
        <v>14.571999999999999</v>
      </c>
      <c r="H23" s="205">
        <f>16172/1000</f>
        <v>16.172000000000001</v>
      </c>
      <c r="I23" s="205">
        <f>22819/1000</f>
        <v>22.818999999999999</v>
      </c>
      <c r="J23" s="205">
        <f>18415/1000</f>
        <v>18.414999999999999</v>
      </c>
      <c r="K23" s="205">
        <f>18001/1000</f>
        <v>18.001000000000001</v>
      </c>
      <c r="L23" s="202">
        <f>28989/1000</f>
        <v>28.989000000000001</v>
      </c>
      <c r="M23" s="202">
        <f>23928/1000</f>
        <v>23.928000000000001</v>
      </c>
      <c r="N23" s="201">
        <f>17201/1000</f>
        <v>17.201000000000001</v>
      </c>
      <c r="O23" s="202">
        <f>17694/1000</f>
        <v>17.693999999999999</v>
      </c>
      <c r="P23" s="204"/>
      <c r="Q23" s="10"/>
      <c r="R23" s="135"/>
    </row>
    <row r="24" spans="2:21">
      <c r="B24" s="79" t="s">
        <v>40</v>
      </c>
      <c r="C24" s="10"/>
      <c r="D24" s="10"/>
      <c r="E24" s="206">
        <f>32225/1000</f>
        <v>32.225000000000001</v>
      </c>
      <c r="F24" s="207">
        <f>33627/1000</f>
        <v>33.627000000000002</v>
      </c>
      <c r="G24" s="207">
        <f>32705/1000</f>
        <v>32.704999999999998</v>
      </c>
      <c r="H24" s="208">
        <f>109834/1000</f>
        <v>109.834</v>
      </c>
      <c r="I24" s="207">
        <f>141345/1000</f>
        <v>141.345</v>
      </c>
      <c r="J24" s="207">
        <f>126364/1000</f>
        <v>126.364</v>
      </c>
      <c r="K24" s="207">
        <f>114839/1000</f>
        <v>114.839</v>
      </c>
      <c r="L24" s="209">
        <f>173631/1000</f>
        <v>173.631</v>
      </c>
      <c r="M24" s="209">
        <f>159400.1/1000</f>
        <v>159.40010000000001</v>
      </c>
      <c r="N24" s="209">
        <f>160166/1000</f>
        <v>160.166</v>
      </c>
      <c r="O24" s="209">
        <f>136392/1000</f>
        <v>136.392</v>
      </c>
      <c r="P24" s="210">
        <f>162294/1000</f>
        <v>162.29400000000001</v>
      </c>
      <c r="Q24" s="10"/>
      <c r="R24" s="4"/>
    </row>
    <row r="25" spans="2:21" ht="19.5" customHeight="1">
      <c r="B25" s="79" t="s">
        <v>41</v>
      </c>
      <c r="C25" s="10"/>
      <c r="D25" s="10"/>
      <c r="E25" s="206">
        <f>38274/1000</f>
        <v>38.274000000000001</v>
      </c>
      <c r="F25" s="207">
        <f>35492/1000</f>
        <v>35.491999999999997</v>
      </c>
      <c r="G25" s="209">
        <f>39063.4/1000</f>
        <v>39.063400000000001</v>
      </c>
      <c r="H25" s="207">
        <f>114233/1000</f>
        <v>114.233</v>
      </c>
      <c r="I25" s="207">
        <f>68212/1000</f>
        <v>68.212000000000003</v>
      </c>
      <c r="J25" s="207">
        <f>100440/1000</f>
        <v>100.44</v>
      </c>
      <c r="K25" s="209">
        <f>99660.5/1000</f>
        <v>99.660499999999999</v>
      </c>
      <c r="L25" s="207">
        <f>108511/1000</f>
        <v>108.511</v>
      </c>
      <c r="M25" s="209">
        <v>127.643</v>
      </c>
      <c r="N25" s="209">
        <f>113648/1000</f>
        <v>113.648</v>
      </c>
      <c r="O25" s="209" t="s">
        <v>51</v>
      </c>
      <c r="P25" s="210"/>
      <c r="Q25" s="239"/>
      <c r="R25" s="133"/>
    </row>
    <row r="26" spans="2:21">
      <c r="B26" s="79" t="s">
        <v>42</v>
      </c>
      <c r="C26" s="10"/>
      <c r="D26" s="10"/>
      <c r="E26" s="206">
        <f>37622/1000</f>
        <v>37.622</v>
      </c>
      <c r="F26" s="207">
        <f>35127/1000</f>
        <v>35.127000000000002</v>
      </c>
      <c r="G26" s="207">
        <f>36352/1000</f>
        <v>36.351999999999997</v>
      </c>
      <c r="H26" s="207">
        <f>119817/1000</f>
        <v>119.81699999999999</v>
      </c>
      <c r="I26" s="211">
        <f>141345/1000</f>
        <v>141.345</v>
      </c>
      <c r="J26" s="211">
        <f>119156/1000</f>
        <v>119.15600000000001</v>
      </c>
      <c r="K26" s="211">
        <f>114839/1000</f>
        <v>114.839</v>
      </c>
      <c r="L26" s="207">
        <f>172492/1000</f>
        <v>172.49199999999999</v>
      </c>
      <c r="M26" s="207">
        <f>159400/1000</f>
        <v>159.4</v>
      </c>
      <c r="N26" s="209">
        <f>160166/1000</f>
        <v>160.166</v>
      </c>
      <c r="O26" s="209">
        <f>136392/1000</f>
        <v>136.392</v>
      </c>
      <c r="P26" s="212"/>
      <c r="Q26" s="239"/>
    </row>
    <row r="27" spans="2:21">
      <c r="B27" s="80" t="s">
        <v>71</v>
      </c>
      <c r="C27" s="10"/>
      <c r="D27" s="10"/>
      <c r="E27" s="213"/>
      <c r="F27" s="214"/>
      <c r="G27" s="214"/>
      <c r="H27" s="214"/>
      <c r="I27" s="82"/>
      <c r="J27" s="82"/>
      <c r="K27" s="81">
        <f>650000/1000000</f>
        <v>0.65</v>
      </c>
      <c r="L27" s="81">
        <f>673800/1000000</f>
        <v>0.67379999999999995</v>
      </c>
      <c r="M27" s="81">
        <f>641700/1000000</f>
        <v>0.64170000000000005</v>
      </c>
      <c r="N27" s="81">
        <f>477200/1000000</f>
        <v>0.47720000000000001</v>
      </c>
      <c r="O27" s="81">
        <f>299/1000</f>
        <v>0.29899999999999999</v>
      </c>
      <c r="P27" s="215">
        <f>298.4/1000</f>
        <v>0.2984</v>
      </c>
      <c r="Q27" s="10" t="s">
        <v>47</v>
      </c>
      <c r="R27" s="33"/>
      <c r="S27" s="33"/>
      <c r="T27" s="33"/>
      <c r="U27" s="34"/>
    </row>
    <row r="28" spans="2:21">
      <c r="B28" s="80" t="s">
        <v>72</v>
      </c>
      <c r="C28" s="10"/>
      <c r="D28" s="10"/>
      <c r="E28" s="213"/>
      <c r="F28" s="214"/>
      <c r="G28" s="214"/>
      <c r="H28" s="214"/>
      <c r="I28" s="82"/>
      <c r="J28" s="82"/>
      <c r="K28" s="81">
        <f>276400/1000000</f>
        <v>0.27639999999999998</v>
      </c>
      <c r="L28" s="81">
        <f>249400/1000000</f>
        <v>0.24940000000000001</v>
      </c>
      <c r="M28" s="81">
        <f>395.3/1000</f>
        <v>0.39529999999999998</v>
      </c>
      <c r="N28" s="82">
        <f>211.4/1000</f>
        <v>0.2114</v>
      </c>
      <c r="O28" s="82" t="s">
        <v>51</v>
      </c>
      <c r="P28" s="216"/>
      <c r="R28" s="35"/>
      <c r="S28" s="35"/>
      <c r="T28" s="35"/>
      <c r="U28" s="34"/>
    </row>
    <row r="29" spans="2:21" ht="15" customHeight="1">
      <c r="B29" s="157" t="s">
        <v>48</v>
      </c>
      <c r="C29" s="10"/>
      <c r="D29" s="10"/>
      <c r="E29" s="217"/>
      <c r="F29" s="218"/>
      <c r="G29" s="219"/>
      <c r="H29" s="218"/>
      <c r="I29" s="218"/>
      <c r="J29" s="218"/>
      <c r="K29" s="218"/>
      <c r="L29" s="218"/>
      <c r="M29" s="218"/>
      <c r="N29" s="218">
        <f>2700/1000</f>
        <v>2.7</v>
      </c>
      <c r="O29" s="218">
        <f>2700/1000</f>
        <v>2.7</v>
      </c>
      <c r="P29" s="220">
        <f>2700/1000</f>
        <v>2.7</v>
      </c>
      <c r="Q29" s="241" t="s">
        <v>50</v>
      </c>
      <c r="R29" s="35"/>
      <c r="S29" s="35"/>
      <c r="T29" s="35"/>
      <c r="U29" s="34"/>
    </row>
    <row r="30" spans="2:21">
      <c r="B30" s="157" t="s">
        <v>49</v>
      </c>
      <c r="C30" s="10"/>
      <c r="D30" s="10"/>
      <c r="E30" s="221"/>
      <c r="F30" s="222"/>
      <c r="G30" s="223"/>
      <c r="H30" s="222"/>
      <c r="I30" s="222"/>
      <c r="J30" s="222"/>
      <c r="K30" s="222"/>
      <c r="L30" s="222"/>
      <c r="M30" s="222">
        <f>3600/1000</f>
        <v>3.6</v>
      </c>
      <c r="N30" s="222">
        <f>2700/1000</f>
        <v>2.7</v>
      </c>
      <c r="O30" s="222" t="s">
        <v>51</v>
      </c>
      <c r="P30" s="224"/>
      <c r="Q30" s="241"/>
      <c r="R30" s="35"/>
      <c r="S30" s="35"/>
      <c r="T30" s="35"/>
      <c r="U30" s="34"/>
    </row>
    <row r="31" spans="2:21">
      <c r="B31" s="10"/>
      <c r="C31" s="10"/>
      <c r="D31" s="10"/>
      <c r="E31" s="10"/>
      <c r="F31" s="10"/>
      <c r="G31" s="83"/>
      <c r="H31" s="10"/>
      <c r="I31" s="10"/>
      <c r="J31" s="10"/>
      <c r="K31" s="10"/>
      <c r="L31" s="10"/>
      <c r="M31" s="10"/>
      <c r="N31" s="10"/>
      <c r="O31" s="10"/>
      <c r="P31" s="10"/>
      <c r="Q31" s="241"/>
      <c r="R31" s="35"/>
      <c r="S31" s="35"/>
      <c r="T31" s="35"/>
      <c r="U31" s="34"/>
    </row>
    <row r="32" spans="2:21">
      <c r="B32" s="10"/>
      <c r="C32" s="10"/>
      <c r="D32" s="10"/>
      <c r="E32" s="10"/>
      <c r="F32" s="10"/>
      <c r="G32" s="83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35"/>
      <c r="S32" s="35"/>
      <c r="T32" s="35"/>
      <c r="U32" s="34"/>
    </row>
    <row r="33" spans="2:2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84"/>
      <c r="N33" s="10"/>
      <c r="O33" s="10"/>
      <c r="P33" s="10"/>
      <c r="Q33" s="10"/>
      <c r="R33" s="35"/>
      <c r="S33" s="35"/>
      <c r="T33" s="35"/>
      <c r="U33" s="34"/>
    </row>
    <row r="34" spans="2:21">
      <c r="B34" s="127"/>
      <c r="C34" s="10"/>
      <c r="D34" s="15" t="s">
        <v>0</v>
      </c>
      <c r="E34" s="10" t="s">
        <v>52</v>
      </c>
      <c r="F34" s="10"/>
      <c r="G34" s="84"/>
      <c r="H34" s="10"/>
      <c r="I34" s="10"/>
      <c r="J34" s="10"/>
      <c r="K34" s="10"/>
      <c r="L34" s="84"/>
      <c r="M34" s="83"/>
      <c r="N34" s="10"/>
      <c r="O34" s="10"/>
      <c r="P34" s="10"/>
      <c r="Q34" s="10"/>
      <c r="R34" s="35"/>
      <c r="S34" s="35"/>
      <c r="T34" s="35"/>
      <c r="U34" s="34"/>
    </row>
    <row r="35" spans="2:21">
      <c r="B35" s="10"/>
      <c r="C35" s="10"/>
      <c r="D35" s="85"/>
      <c r="E35" s="18">
        <v>2008</v>
      </c>
      <c r="F35" s="18">
        <v>2009</v>
      </c>
      <c r="G35" s="18">
        <v>2010</v>
      </c>
      <c r="H35" s="18">
        <v>2011</v>
      </c>
      <c r="I35" s="18">
        <v>2012</v>
      </c>
      <c r="J35" s="18">
        <v>2013</v>
      </c>
      <c r="K35" s="18">
        <v>2014</v>
      </c>
      <c r="L35" s="18">
        <v>2015</v>
      </c>
      <c r="M35" s="18">
        <v>2016</v>
      </c>
      <c r="N35" s="18">
        <v>2017</v>
      </c>
      <c r="O35" s="18">
        <v>2018</v>
      </c>
      <c r="P35" s="18">
        <v>2019</v>
      </c>
    </row>
    <row r="36" spans="2:21">
      <c r="B36" s="10"/>
      <c r="C36" s="10"/>
      <c r="D36" s="63" t="s">
        <v>2</v>
      </c>
      <c r="E36" s="86">
        <f t="shared" ref="E36:O36" si="0">E10/E84</f>
        <v>19.313996073488777</v>
      </c>
      <c r="F36" s="86">
        <f t="shared" si="0"/>
        <v>22.055127169844681</v>
      </c>
      <c r="G36" s="86">
        <f t="shared" si="0"/>
        <v>20.984410948857871</v>
      </c>
      <c r="H36" s="86">
        <f t="shared" si="0"/>
        <v>21.096765988294049</v>
      </c>
      <c r="I36" s="86">
        <f t="shared" si="0"/>
        <v>23.981324428498898</v>
      </c>
      <c r="J36" s="86">
        <f t="shared" si="0"/>
        <v>23.626655332276751</v>
      </c>
      <c r="K36" s="86">
        <f t="shared" si="0"/>
        <v>22.440298277856336</v>
      </c>
      <c r="L36" s="86">
        <f t="shared" si="0"/>
        <v>25.91830234617311</v>
      </c>
      <c r="M36" s="86">
        <f t="shared" si="0"/>
        <v>22.436094042940471</v>
      </c>
      <c r="N36" s="86">
        <f t="shared" si="0"/>
        <v>19.618615753049976</v>
      </c>
      <c r="O36" s="86">
        <f t="shared" si="0"/>
        <v>20.132000000000001</v>
      </c>
      <c r="P36" s="86">
        <f>P10/P84</f>
        <v>24.817141151649679</v>
      </c>
      <c r="Q36" t="s">
        <v>76</v>
      </c>
      <c r="R36" s="10">
        <f>(P36-O36)/O36*100</f>
        <v>23.272109833348289</v>
      </c>
    </row>
    <row r="37" spans="2:21">
      <c r="B37" s="10"/>
      <c r="C37" s="10"/>
      <c r="D37" s="63" t="s">
        <v>3</v>
      </c>
      <c r="E37" s="86">
        <f t="shared" ref="E37:M37" si="1">E11/E84</f>
        <v>19.97386294803432</v>
      </c>
      <c r="F37" s="86">
        <f t="shared" si="1"/>
        <v>22.055127169844681</v>
      </c>
      <c r="G37" s="86">
        <f t="shared" si="1"/>
        <v>20.984410948857871</v>
      </c>
      <c r="H37" s="86">
        <f t="shared" si="1"/>
        <v>21.096765988294049</v>
      </c>
      <c r="I37" s="86">
        <f t="shared" si="1"/>
        <v>23.981324428498898</v>
      </c>
      <c r="J37" s="86">
        <f t="shared" si="1"/>
        <v>23.622742554689292</v>
      </c>
      <c r="K37" s="86">
        <f t="shared" si="1"/>
        <v>23.042339953983205</v>
      </c>
      <c r="L37" s="86">
        <f t="shared" si="1"/>
        <v>22.489485541967504</v>
      </c>
      <c r="M37" s="86">
        <f t="shared" si="1"/>
        <v>20.008168700616388</v>
      </c>
      <c r="N37" s="86">
        <f>N11/N84</f>
        <v>21.729745296042115</v>
      </c>
      <c r="O37" s="86"/>
      <c r="P37" s="86"/>
      <c r="Q37" s="71"/>
    </row>
    <row r="38" spans="2:2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21">
      <c r="B39" s="10"/>
      <c r="C39" s="10"/>
      <c r="D39" s="15" t="s">
        <v>65</v>
      </c>
      <c r="E39" s="10" t="s">
        <v>52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21">
      <c r="B40" s="10"/>
      <c r="C40" s="10"/>
      <c r="D40" s="87"/>
      <c r="E40" s="17">
        <v>2008</v>
      </c>
      <c r="F40" s="17">
        <v>2009</v>
      </c>
      <c r="G40" s="17">
        <v>2010</v>
      </c>
      <c r="H40" s="17">
        <v>2011</v>
      </c>
      <c r="I40" s="17">
        <v>2012</v>
      </c>
      <c r="J40" s="17">
        <v>2013</v>
      </c>
      <c r="K40" s="17">
        <v>2014</v>
      </c>
      <c r="L40" s="17">
        <v>2015</v>
      </c>
      <c r="M40" s="17">
        <v>2016</v>
      </c>
      <c r="N40" s="17">
        <v>2017</v>
      </c>
      <c r="O40" s="17">
        <v>2018</v>
      </c>
      <c r="P40" s="17">
        <v>2019</v>
      </c>
      <c r="Q40" s="10"/>
    </row>
    <row r="41" spans="2:21">
      <c r="B41" s="10"/>
      <c r="C41" s="10"/>
      <c r="D41" s="62" t="s">
        <v>2</v>
      </c>
      <c r="E41" s="88">
        <f t="shared" ref="E41:O41" si="2">E17/E84</f>
        <v>0.29222915798148236</v>
      </c>
      <c r="F41" s="88">
        <f t="shared" si="2"/>
        <v>0.27333277261773326</v>
      </c>
      <c r="G41" s="88">
        <f t="shared" si="2"/>
        <v>0.80260888030888022</v>
      </c>
      <c r="H41" s="88">
        <f t="shared" si="2"/>
        <v>1.1491455086555502</v>
      </c>
      <c r="I41" s="88">
        <f t="shared" si="2"/>
        <v>1.3529365756756169</v>
      </c>
      <c r="J41" s="88">
        <f t="shared" si="2"/>
        <v>1.3024332329457116</v>
      </c>
      <c r="K41" s="88">
        <f t="shared" si="2"/>
        <v>1.3823421942180454</v>
      </c>
      <c r="L41" s="88">
        <f t="shared" si="2"/>
        <v>1.8128086662180418</v>
      </c>
      <c r="M41" s="88">
        <f t="shared" si="2"/>
        <v>1.8675246287179912</v>
      </c>
      <c r="N41" s="88">
        <f t="shared" si="2"/>
        <v>1.4723096812809982</v>
      </c>
      <c r="O41" s="88">
        <f t="shared" si="2"/>
        <v>0.68989999999999996</v>
      </c>
      <c r="P41" s="88">
        <f>P17/P84</f>
        <v>0.64127614640616304</v>
      </c>
    </row>
    <row r="42" spans="2:21">
      <c r="B42" s="10"/>
      <c r="C42" s="10"/>
      <c r="D42" s="62" t="s">
        <v>3</v>
      </c>
      <c r="E42" s="88">
        <f t="shared" ref="E42:N42" si="3">E18/E84</f>
        <v>0.89465788768238896</v>
      </c>
      <c r="F42" s="88">
        <f t="shared" si="3"/>
        <v>0.22667769591229261</v>
      </c>
      <c r="G42" s="88">
        <f t="shared" si="3"/>
        <v>0.71756522055175676</v>
      </c>
      <c r="H42" s="88">
        <f t="shared" si="3"/>
        <v>1.0349464904852976</v>
      </c>
      <c r="I42" s="88">
        <f t="shared" si="3"/>
        <v>0.74443682065405281</v>
      </c>
      <c r="J42" s="88">
        <f t="shared" si="3"/>
        <v>0.58274300869231321</v>
      </c>
      <c r="K42" s="88">
        <f t="shared" si="3"/>
        <v>1.1208380834559433</v>
      </c>
      <c r="L42" s="88">
        <f t="shared" si="3"/>
        <v>1.2484679590773169</v>
      </c>
      <c r="M42" s="88">
        <f>M18/M84</f>
        <v>1.8848338775938824</v>
      </c>
      <c r="N42" s="88">
        <f t="shared" si="3"/>
        <v>1.3257297130119725</v>
      </c>
      <c r="O42" s="88"/>
      <c r="P42" s="88"/>
      <c r="Q42" s="10"/>
    </row>
    <row r="43" spans="2:21" s="4" customFormat="1">
      <c r="B43" s="89"/>
      <c r="C43" s="89"/>
      <c r="D43" s="90"/>
      <c r="E43" s="89"/>
      <c r="F43" s="89"/>
      <c r="G43" s="89"/>
      <c r="H43" s="89"/>
      <c r="I43" s="89"/>
      <c r="J43" s="89"/>
      <c r="K43" s="89"/>
      <c r="L43" s="89"/>
      <c r="M43" s="91"/>
      <c r="N43" s="91"/>
      <c r="O43" s="91"/>
      <c r="P43" s="91"/>
      <c r="Q43" s="89"/>
    </row>
    <row r="44" spans="2:21">
      <c r="B44" s="10"/>
      <c r="C44" s="10"/>
      <c r="D44" s="15" t="s">
        <v>43</v>
      </c>
      <c r="E44" s="10" t="s">
        <v>52</v>
      </c>
      <c r="F44" s="10"/>
      <c r="G44" s="10"/>
      <c r="H44" s="10"/>
      <c r="I44" s="10"/>
      <c r="J44" s="10"/>
      <c r="K44" s="10"/>
      <c r="L44" s="10"/>
      <c r="M44" s="92"/>
      <c r="N44" s="10"/>
      <c r="O44" s="10"/>
      <c r="P44" s="10"/>
      <c r="Q44" s="10"/>
    </row>
    <row r="45" spans="2:21">
      <c r="B45" s="10"/>
      <c r="C45" s="10"/>
      <c r="D45" s="93"/>
      <c r="E45" s="16">
        <v>2008</v>
      </c>
      <c r="F45" s="16">
        <v>2009</v>
      </c>
      <c r="G45" s="16">
        <v>2010</v>
      </c>
      <c r="H45" s="16">
        <v>2011</v>
      </c>
      <c r="I45" s="16">
        <v>2012</v>
      </c>
      <c r="J45" s="16">
        <v>2013</v>
      </c>
      <c r="K45" s="16">
        <v>2014</v>
      </c>
      <c r="L45" s="16">
        <v>2015</v>
      </c>
      <c r="M45" s="16">
        <v>2016</v>
      </c>
      <c r="N45" s="16">
        <v>2017</v>
      </c>
      <c r="O45" s="16">
        <v>2018</v>
      </c>
      <c r="P45" s="16">
        <v>2019</v>
      </c>
      <c r="Q45" s="10"/>
    </row>
    <row r="46" spans="2:21">
      <c r="B46" s="10"/>
      <c r="C46" s="10"/>
      <c r="D46" s="93" t="s">
        <v>2</v>
      </c>
      <c r="E46" s="94">
        <f t="shared" ref="E46:P46" si="4">E21/E84</f>
        <v>18.854826810315576</v>
      </c>
      <c r="F46" s="94">
        <f t="shared" si="4"/>
        <v>22.362547995139458</v>
      </c>
      <c r="G46" s="94">
        <f t="shared" si="4"/>
        <v>21.779098363495176</v>
      </c>
      <c r="H46" s="94">
        <f t="shared" si="4"/>
        <v>23.143189496858724</v>
      </c>
      <c r="I46" s="94">
        <f t="shared" si="4"/>
        <v>31.238146028879797</v>
      </c>
      <c r="J46" s="94">
        <f t="shared" si="4"/>
        <v>24.017933091022709</v>
      </c>
      <c r="K46" s="94">
        <f t="shared" si="4"/>
        <v>22.29895474854343</v>
      </c>
      <c r="L46" s="94">
        <f t="shared" si="4"/>
        <v>33.878439626393309</v>
      </c>
      <c r="M46" s="94">
        <f t="shared" si="4"/>
        <v>26.380618286772592</v>
      </c>
      <c r="N46" s="94">
        <f t="shared" si="4"/>
        <v>18.061046090225677</v>
      </c>
      <c r="O46" s="94">
        <f t="shared" si="4"/>
        <v>17.693999999999999</v>
      </c>
      <c r="P46" s="94">
        <f t="shared" si="4"/>
        <v>18.868570131878251</v>
      </c>
      <c r="Q46" t="s">
        <v>77</v>
      </c>
      <c r="R46" s="237">
        <f>(P46-O46)/O46</f>
        <v>6.6382396963843765E-2</v>
      </c>
    </row>
    <row r="47" spans="2:21">
      <c r="B47" s="10"/>
      <c r="C47" s="10"/>
      <c r="D47" s="93" t="s">
        <v>3</v>
      </c>
      <c r="E47" s="94">
        <f t="shared" ref="E47:M47" si="5">E22/E84</f>
        <v>26.476801452082018</v>
      </c>
      <c r="F47" s="94">
        <f t="shared" si="5"/>
        <v>22.362547995139458</v>
      </c>
      <c r="G47" s="94">
        <f t="shared" si="5"/>
        <v>21.779098363495176</v>
      </c>
      <c r="H47" s="94">
        <f t="shared" si="5"/>
        <v>23.143189496858724</v>
      </c>
      <c r="I47" s="94">
        <f t="shared" si="5"/>
        <v>24.393379380718219</v>
      </c>
      <c r="J47" s="94">
        <f t="shared" si="5"/>
        <v>30.460973518372818</v>
      </c>
      <c r="K47" s="94">
        <f t="shared" si="5"/>
        <v>24.601949975060826</v>
      </c>
      <c r="L47" s="94">
        <f t="shared" si="5"/>
        <v>23.008950119155436</v>
      </c>
      <c r="M47" s="94">
        <f t="shared" si="5"/>
        <v>24.571415904266996</v>
      </c>
      <c r="N47" s="94">
        <f>N22/N84</f>
        <v>18.059996090452977</v>
      </c>
      <c r="O47" s="94"/>
      <c r="P47" s="94"/>
      <c r="Q47" s="236"/>
    </row>
    <row r="48" spans="2:21" ht="15.75" customHeight="1">
      <c r="B48" s="10"/>
      <c r="C48" s="95"/>
      <c r="D48" s="95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0"/>
    </row>
    <row r="49" spans="2:17" ht="17.25" customHeight="1">
      <c r="B49" s="10"/>
      <c r="C49" s="95"/>
      <c r="D49" s="15" t="s">
        <v>66</v>
      </c>
      <c r="E49" s="10" t="s">
        <v>52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>
      <c r="B50" s="10"/>
      <c r="C50" s="10"/>
      <c r="D50" s="61"/>
      <c r="E50" s="14">
        <v>2008</v>
      </c>
      <c r="F50" s="14">
        <v>2009</v>
      </c>
      <c r="G50" s="14">
        <v>2010</v>
      </c>
      <c r="H50" s="14">
        <v>2011</v>
      </c>
      <c r="I50" s="14">
        <v>2012</v>
      </c>
      <c r="J50" s="14">
        <v>2013</v>
      </c>
      <c r="K50" s="14">
        <v>2014</v>
      </c>
      <c r="L50" s="14">
        <v>2015</v>
      </c>
      <c r="M50" s="14">
        <v>2016</v>
      </c>
      <c r="N50" s="14">
        <v>2017</v>
      </c>
      <c r="O50" s="14">
        <v>2018</v>
      </c>
      <c r="P50" s="14">
        <v>2019</v>
      </c>
      <c r="Q50" s="10"/>
    </row>
    <row r="51" spans="2:17" ht="16.5" customHeight="1">
      <c r="B51" s="10"/>
      <c r="C51" s="11"/>
      <c r="D51" s="165" t="s">
        <v>2</v>
      </c>
      <c r="E51" s="166">
        <f>E144</f>
        <v>38.461052041785834</v>
      </c>
      <c r="F51" s="166">
        <f>(F21+F17+F13+F19+F10)/F84</f>
        <v>44.691007937601874</v>
      </c>
      <c r="G51" s="166">
        <f>(G21+G17+G13+G19+G10)/G84</f>
        <v>43.566118192661925</v>
      </c>
      <c r="H51" s="166">
        <f>(H21+H17+H13+H19+H10)/H84</f>
        <v>45.389100993808327</v>
      </c>
      <c r="I51" s="166">
        <f t="shared" ref="I51:N51" si="6">(I21+I17+I13+I19+I10+I27)/I84</f>
        <v>63.417173681215885</v>
      </c>
      <c r="J51" s="166">
        <f t="shared" si="6"/>
        <v>75.032205572642354</v>
      </c>
      <c r="K51" s="166">
        <f t="shared" si="6"/>
        <v>71.702172611605022</v>
      </c>
      <c r="L51" s="166">
        <f t="shared" si="6"/>
        <v>68.24023256915315</v>
      </c>
      <c r="M51" s="166">
        <f t="shared" si="6"/>
        <v>51.391711162485798</v>
      </c>
      <c r="N51" s="166">
        <f t="shared" si="6"/>
        <v>40.703031188790206</v>
      </c>
      <c r="O51" s="167">
        <f>(O21+O17+O13+O19+O10+O27)/O84</f>
        <v>39.314900000000002</v>
      </c>
      <c r="P51" s="167">
        <f>(P21+P17+P13+P19+P10+P27)/P84</f>
        <v>44.992130241366745</v>
      </c>
      <c r="Q51" s="10"/>
    </row>
    <row r="52" spans="2:17" ht="16.5" customHeight="1">
      <c r="B52" s="10"/>
      <c r="C52" s="10"/>
      <c r="D52" s="166" t="s">
        <v>3</v>
      </c>
      <c r="E52" s="166">
        <f>E145</f>
        <v>47.345322287798723</v>
      </c>
      <c r="F52" s="166">
        <f>F37+F42+F47+(F20/F84)</f>
        <v>44.644352860896433</v>
      </c>
      <c r="G52" s="166">
        <f>G37+G42+G47+(G20/G84)</f>
        <v>43.481074532904799</v>
      </c>
      <c r="H52" s="166">
        <f>H37+H42+H47+(H20/H84)</f>
        <v>53.575081241145156</v>
      </c>
      <c r="I52" s="166">
        <f t="shared" ref="I52:N52" si="7">I37+I42+I47+((I20+I28)/I84)</f>
        <v>53.226000618768111</v>
      </c>
      <c r="J52" s="166">
        <f t="shared" si="7"/>
        <v>63.144143854583511</v>
      </c>
      <c r="K52" s="166">
        <f t="shared" si="7"/>
        <v>49.107523731186113</v>
      </c>
      <c r="L52" s="166">
        <f t="shared" si="7"/>
        <v>47.03836473504991</v>
      </c>
      <c r="M52" s="166">
        <f t="shared" si="7"/>
        <v>46.900236704174077</v>
      </c>
      <c r="N52" s="166">
        <f t="shared" si="7"/>
        <v>41.337441051456004</v>
      </c>
      <c r="O52" s="166"/>
      <c r="P52" s="166"/>
      <c r="Q52" s="6"/>
    </row>
    <row r="53" spans="2:17" ht="16.5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>
      <c r="B54" s="10"/>
      <c r="C54" s="10"/>
      <c r="D54" s="15" t="s">
        <v>4</v>
      </c>
      <c r="E54" s="10" t="s">
        <v>52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>
      <c r="B55" s="10"/>
      <c r="C55" s="10"/>
      <c r="D55" s="96"/>
      <c r="E55" s="13">
        <v>2008</v>
      </c>
      <c r="F55" s="13">
        <v>2009</v>
      </c>
      <c r="G55" s="13">
        <v>2010</v>
      </c>
      <c r="H55" s="13">
        <v>2011</v>
      </c>
      <c r="I55" s="13">
        <v>2012</v>
      </c>
      <c r="J55" s="13">
        <v>2013</v>
      </c>
      <c r="K55" s="13">
        <v>2014</v>
      </c>
      <c r="L55" s="13">
        <v>2015</v>
      </c>
      <c r="M55" s="13">
        <v>2016</v>
      </c>
      <c r="N55" s="13">
        <v>2017</v>
      </c>
      <c r="O55" s="13">
        <v>2018</v>
      </c>
      <c r="P55" s="13">
        <v>2019</v>
      </c>
      <c r="Q55" s="10"/>
    </row>
    <row r="56" spans="2:17">
      <c r="B56" s="10"/>
      <c r="C56" s="10"/>
      <c r="D56" s="96" t="s">
        <v>2</v>
      </c>
      <c r="E56" s="97">
        <f t="shared" ref="E56:O56" si="8">E24/E84</f>
        <v>54.121175953754424</v>
      </c>
      <c r="F56" s="97">
        <f t="shared" si="8"/>
        <v>52.82391462538228</v>
      </c>
      <c r="G56" s="97">
        <f t="shared" si="8"/>
        <v>48.881421658290364</v>
      </c>
      <c r="H56" s="97">
        <f t="shared" si="8"/>
        <v>157.17963611167335</v>
      </c>
      <c r="I56" s="97">
        <f t="shared" si="8"/>
        <v>193.49470837687957</v>
      </c>
      <c r="J56" s="97">
        <f t="shared" si="8"/>
        <v>164.81140902058073</v>
      </c>
      <c r="K56" s="97">
        <f t="shared" si="8"/>
        <v>142.2589795159119</v>
      </c>
      <c r="L56" s="97">
        <f t="shared" si="8"/>
        <v>202.91373228732903</v>
      </c>
      <c r="M56" s="97">
        <f t="shared" si="8"/>
        <v>175.73859883706871</v>
      </c>
      <c r="N56" s="97">
        <f t="shared" si="8"/>
        <v>168.17426359438903</v>
      </c>
      <c r="O56" s="137">
        <f t="shared" si="8"/>
        <v>136.392</v>
      </c>
      <c r="P56" s="137">
        <f>P24/P84</f>
        <v>154.5657036635902</v>
      </c>
      <c r="Q56" s="10"/>
    </row>
    <row r="57" spans="2:17">
      <c r="B57" s="10"/>
      <c r="C57" s="10"/>
      <c r="D57" s="96" t="s">
        <v>3</v>
      </c>
      <c r="E57" s="97">
        <f t="shared" ref="E57:N57" si="9">E25/E84</f>
        <v>64.28033788840952</v>
      </c>
      <c r="F57" s="97">
        <f t="shared" si="9"/>
        <v>55.753602102003377</v>
      </c>
      <c r="G57" s="97">
        <f t="shared" si="9"/>
        <v>58.384789078320132</v>
      </c>
      <c r="H57" s="97">
        <f t="shared" si="9"/>
        <v>163.47489276494329</v>
      </c>
      <c r="I57" s="97">
        <f t="shared" si="9"/>
        <v>93.379044520879475</v>
      </c>
      <c r="J57" s="97">
        <f t="shared" si="9"/>
        <v>130.99979362814668</v>
      </c>
      <c r="K57" s="97">
        <f t="shared" si="9"/>
        <v>123.45632605687561</v>
      </c>
      <c r="L57" s="97">
        <f t="shared" si="9"/>
        <v>126.81129524238391</v>
      </c>
      <c r="M57" s="97">
        <f t="shared" si="9"/>
        <v>140.72639836085398</v>
      </c>
      <c r="N57" s="97">
        <f t="shared" si="9"/>
        <v>119.33037416789534</v>
      </c>
      <c r="O57" s="97"/>
      <c r="P57" s="97"/>
      <c r="Q57" s="71"/>
    </row>
    <row r="58" spans="2:17">
      <c r="B58" s="10"/>
      <c r="C58" s="10"/>
      <c r="D58" s="96" t="s">
        <v>5</v>
      </c>
      <c r="E58" s="97">
        <f>E52</f>
        <v>47.345322287798723</v>
      </c>
      <c r="F58" s="97">
        <f t="shared" ref="F58:L58" si="10">F52</f>
        <v>44.644352860896433</v>
      </c>
      <c r="G58" s="97">
        <f t="shared" si="10"/>
        <v>43.481074532904799</v>
      </c>
      <c r="H58" s="97">
        <f t="shared" si="10"/>
        <v>53.575081241145156</v>
      </c>
      <c r="I58" s="97">
        <f t="shared" si="10"/>
        <v>53.226000618768111</v>
      </c>
      <c r="J58" s="97">
        <f t="shared" si="10"/>
        <v>63.144143854583511</v>
      </c>
      <c r="K58" s="97">
        <f t="shared" si="10"/>
        <v>49.107523731186113</v>
      </c>
      <c r="L58" s="97">
        <f t="shared" si="10"/>
        <v>47.03836473504991</v>
      </c>
      <c r="M58" s="148">
        <f>M52</f>
        <v>46.900236704174077</v>
      </c>
      <c r="N58" s="148">
        <f>N52</f>
        <v>41.337441051456004</v>
      </c>
      <c r="O58" s="57">
        <f>O51</f>
        <v>39.314900000000002</v>
      </c>
      <c r="P58" s="57">
        <f>P51</f>
        <v>44.992130241366745</v>
      </c>
      <c r="Q58" t="s">
        <v>74</v>
      </c>
    </row>
    <row r="59" spans="2:17" s="4" customFormat="1">
      <c r="B59" s="89"/>
      <c r="C59" s="89"/>
      <c r="D59" s="98"/>
      <c r="E59" s="99"/>
      <c r="F59" s="99"/>
      <c r="G59" s="99"/>
      <c r="H59" s="99"/>
      <c r="I59" s="99"/>
      <c r="J59" s="99"/>
      <c r="K59" s="99"/>
      <c r="L59" s="99"/>
      <c r="M59" s="27"/>
      <c r="N59" s="27"/>
      <c r="O59" s="27"/>
      <c r="P59" s="27"/>
      <c r="Q59" s="89"/>
    </row>
    <row r="60" spans="2:17">
      <c r="B60" s="10"/>
      <c r="C60" s="10"/>
      <c r="D60" s="15" t="s">
        <v>44</v>
      </c>
      <c r="E60" s="10" t="s">
        <v>52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>
      <c r="B61" s="10"/>
      <c r="C61" s="10"/>
      <c r="D61" s="56"/>
      <c r="E61" s="12">
        <v>2008</v>
      </c>
      <c r="F61" s="12">
        <v>2009</v>
      </c>
      <c r="G61" s="12">
        <v>2010</v>
      </c>
      <c r="H61" s="12">
        <v>2011</v>
      </c>
      <c r="I61" s="12">
        <v>2012</v>
      </c>
      <c r="J61" s="12">
        <v>2013</v>
      </c>
      <c r="K61" s="12">
        <v>2014</v>
      </c>
      <c r="L61" s="12">
        <v>2015</v>
      </c>
      <c r="M61" s="12">
        <v>2016</v>
      </c>
      <c r="N61" s="12"/>
      <c r="O61" s="12">
        <v>2018</v>
      </c>
      <c r="P61" s="12">
        <v>2019</v>
      </c>
      <c r="Q61" s="10"/>
    </row>
    <row r="62" spans="2:17">
      <c r="B62" s="10"/>
      <c r="C62" s="10"/>
      <c r="D62" s="56" t="s">
        <v>6</v>
      </c>
      <c r="E62" s="100">
        <f t="shared" ref="E62:P62" si="11">E14/E84</f>
        <v>305.71536567453586</v>
      </c>
      <c r="F62" s="100">
        <f t="shared" si="11"/>
        <v>298.15735770783692</v>
      </c>
      <c r="G62" s="100">
        <f t="shared" si="11"/>
        <v>332.16798023554276</v>
      </c>
      <c r="H62" s="100">
        <f t="shared" si="11"/>
        <v>375.94946450419047</v>
      </c>
      <c r="I62" s="100">
        <f t="shared" si="11"/>
        <v>407.85637235734453</v>
      </c>
      <c r="J62" s="100">
        <f t="shared" si="11"/>
        <v>352.47735192951279</v>
      </c>
      <c r="K62" s="100">
        <f t="shared" si="11"/>
        <v>537.99732498332924</v>
      </c>
      <c r="L62" s="100">
        <f t="shared" si="11"/>
        <v>429.10345104001692</v>
      </c>
      <c r="M62" s="100">
        <f t="shared" si="11"/>
        <v>398.32771163154058</v>
      </c>
      <c r="N62" s="100">
        <f t="shared" si="11"/>
        <v>324.33757978885416</v>
      </c>
      <c r="O62" s="100">
        <f t="shared" si="11"/>
        <v>258.47000000000003</v>
      </c>
      <c r="P62" s="100">
        <f t="shared" si="11"/>
        <v>293.94093218062989</v>
      </c>
      <c r="Q62" s="10"/>
    </row>
    <row r="63" spans="2:17">
      <c r="B63" s="10"/>
      <c r="C63" s="10"/>
      <c r="D63" s="56" t="s">
        <v>7</v>
      </c>
      <c r="E63" s="100">
        <f t="shared" ref="E63:N63" si="12">E15/E84</f>
        <v>349.94609616074462</v>
      </c>
      <c r="F63" s="100">
        <f t="shared" si="12"/>
        <v>331.13935518257642</v>
      </c>
      <c r="G63" s="100">
        <f t="shared" si="12"/>
        <v>348.25005016500933</v>
      </c>
      <c r="H63" s="100">
        <f t="shared" si="12"/>
        <v>489.24404934758104</v>
      </c>
      <c r="I63" s="100">
        <f t="shared" si="12"/>
        <v>443.57784054077013</v>
      </c>
      <c r="J63" s="100">
        <f t="shared" si="12"/>
        <v>464.36974833889855</v>
      </c>
      <c r="K63" s="100">
        <f t="shared" si="12"/>
        <v>522.85956925849314</v>
      </c>
      <c r="L63" s="100">
        <f t="shared" si="12"/>
        <v>438.89439418440503</v>
      </c>
      <c r="M63" s="100">
        <f t="shared" si="12"/>
        <v>470.65170693462824</v>
      </c>
      <c r="N63" s="100">
        <f t="shared" si="12"/>
        <v>332.25037807592702</v>
      </c>
      <c r="O63" s="100"/>
      <c r="P63" s="100"/>
      <c r="Q63" s="10"/>
    </row>
    <row r="64" spans="2:17">
      <c r="B64" s="10"/>
      <c r="C64" s="10"/>
      <c r="D64" s="56" t="s">
        <v>5</v>
      </c>
      <c r="E64" s="100">
        <f t="shared" ref="E64:L64" si="13">E52</f>
        <v>47.345322287798723</v>
      </c>
      <c r="F64" s="100">
        <f t="shared" si="13"/>
        <v>44.644352860896433</v>
      </c>
      <c r="G64" s="100">
        <f t="shared" si="13"/>
        <v>43.481074532904799</v>
      </c>
      <c r="H64" s="100">
        <f t="shared" si="13"/>
        <v>53.575081241145156</v>
      </c>
      <c r="I64" s="100">
        <f t="shared" si="13"/>
        <v>53.226000618768111</v>
      </c>
      <c r="J64" s="100">
        <f t="shared" si="13"/>
        <v>63.144143854583511</v>
      </c>
      <c r="K64" s="100">
        <f t="shared" si="13"/>
        <v>49.107523731186113</v>
      </c>
      <c r="L64" s="100">
        <f t="shared" si="13"/>
        <v>47.03836473504991</v>
      </c>
      <c r="M64" s="59">
        <f>M52</f>
        <v>46.900236704174077</v>
      </c>
      <c r="N64" s="59">
        <f>N52</f>
        <v>41.337441051456004</v>
      </c>
      <c r="O64" s="58">
        <f>O51</f>
        <v>39.314900000000002</v>
      </c>
      <c r="P64" s="58">
        <f>P51</f>
        <v>44.992130241366745</v>
      </c>
      <c r="Q64" t="s">
        <v>74</v>
      </c>
    </row>
    <row r="65" spans="2:22">
      <c r="B65" s="10"/>
      <c r="C65" s="10"/>
      <c r="D65" s="98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10"/>
    </row>
    <row r="66" spans="2:22">
      <c r="B66" s="10"/>
      <c r="C66" s="10"/>
      <c r="D66" s="1" t="s">
        <v>58</v>
      </c>
      <c r="E66" s="10" t="s">
        <v>52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22">
      <c r="B67" s="10"/>
      <c r="C67" s="10"/>
      <c r="D67" s="101"/>
      <c r="E67" s="31">
        <v>2008</v>
      </c>
      <c r="F67" s="31">
        <v>2009</v>
      </c>
      <c r="G67" s="31">
        <v>2010</v>
      </c>
      <c r="H67" s="31">
        <v>2011</v>
      </c>
      <c r="I67" s="31">
        <v>2012</v>
      </c>
      <c r="J67" s="31">
        <v>2013</v>
      </c>
      <c r="K67" s="31">
        <v>2014</v>
      </c>
      <c r="L67" s="31">
        <v>2015</v>
      </c>
      <c r="M67" s="31">
        <v>2016</v>
      </c>
      <c r="N67" s="31">
        <v>2017</v>
      </c>
      <c r="O67" s="31">
        <v>2018</v>
      </c>
      <c r="P67" s="31">
        <v>2019</v>
      </c>
      <c r="Q67" s="10"/>
    </row>
    <row r="68" spans="2:22">
      <c r="B68" s="10"/>
      <c r="C68" s="10"/>
      <c r="D68" s="101" t="s">
        <v>2</v>
      </c>
      <c r="E68" s="102"/>
      <c r="F68" s="102"/>
      <c r="G68" s="102"/>
      <c r="H68" s="102"/>
      <c r="I68" s="102">
        <f t="shared" ref="I68:P68" si="14" xml:space="preserve"> I19/I84</f>
        <v>6.844766648161575</v>
      </c>
      <c r="J68" s="102">
        <f t="shared" si="14"/>
        <v>26.085183916397188</v>
      </c>
      <c r="K68" s="102">
        <f t="shared" si="14"/>
        <v>24.775377618389555</v>
      </c>
      <c r="L68" s="102">
        <f t="shared" si="14"/>
        <v>5.8432460876032799</v>
      </c>
      <c r="M68" s="102">
        <f t="shared" si="14"/>
        <v>0</v>
      </c>
      <c r="N68" s="102">
        <f t="shared" si="14"/>
        <v>1.0499997727007544</v>
      </c>
      <c r="O68" s="149">
        <f t="shared" si="14"/>
        <v>0.5</v>
      </c>
      <c r="P68" s="149">
        <f t="shared" si="14"/>
        <v>0.38095235477242584</v>
      </c>
      <c r="Q68" s="84"/>
    </row>
    <row r="69" spans="2:22">
      <c r="B69" s="10"/>
      <c r="C69" s="10"/>
      <c r="D69" s="101" t="s">
        <v>3</v>
      </c>
      <c r="E69" s="102"/>
      <c r="F69" s="102"/>
      <c r="G69" s="102"/>
      <c r="H69" s="102">
        <f xml:space="preserve"> H20/H84</f>
        <v>8.3001792655070865</v>
      </c>
      <c r="I69" s="102">
        <f xml:space="preserve"> I20/I84</f>
        <v>4.1068599888969448</v>
      </c>
      <c r="J69" s="102">
        <f xml:space="preserve"> J20/J84</f>
        <v>8.4776847728290861</v>
      </c>
      <c r="K69" s="102">
        <f xml:space="preserve"> K20/K84</f>
        <v>0</v>
      </c>
      <c r="L69" s="102">
        <f xml:space="preserve"> L20/L84</f>
        <v>0</v>
      </c>
      <c r="M69" s="102"/>
      <c r="N69" s="102">
        <v>0</v>
      </c>
      <c r="O69" s="102"/>
      <c r="P69" s="102"/>
      <c r="Q69" s="10"/>
    </row>
    <row r="70" spans="2:22">
      <c r="B70" s="10"/>
      <c r="C70" s="10"/>
      <c r="D70" s="98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10"/>
    </row>
    <row r="71" spans="2:22">
      <c r="B71" s="10"/>
      <c r="C71" s="10"/>
      <c r="D71" s="15" t="s">
        <v>73</v>
      </c>
      <c r="E71" s="10" t="s">
        <v>52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36"/>
      <c r="S71" s="36"/>
      <c r="T71" s="36"/>
      <c r="U71" s="36"/>
      <c r="V71" s="36"/>
    </row>
    <row r="72" spans="2:22">
      <c r="B72" s="10"/>
      <c r="C72" s="10"/>
      <c r="D72" s="103"/>
      <c r="E72" s="32">
        <v>2008</v>
      </c>
      <c r="F72" s="32">
        <v>2009</v>
      </c>
      <c r="G72" s="32">
        <v>2010</v>
      </c>
      <c r="H72" s="32">
        <v>2011</v>
      </c>
      <c r="I72" s="32">
        <v>2012</v>
      </c>
      <c r="J72" s="32">
        <v>2013</v>
      </c>
      <c r="K72" s="32">
        <v>2014</v>
      </c>
      <c r="L72" s="32">
        <v>2015</v>
      </c>
      <c r="M72" s="32">
        <v>2016</v>
      </c>
      <c r="N72" s="32">
        <v>2017</v>
      </c>
      <c r="O72" s="32">
        <v>2018</v>
      </c>
      <c r="P72" s="32">
        <v>2019</v>
      </c>
      <c r="Q72" s="10"/>
      <c r="R72" s="3"/>
      <c r="S72" s="3"/>
      <c r="T72" s="3"/>
      <c r="U72" s="3"/>
      <c r="V72" s="19"/>
    </row>
    <row r="73" spans="2:22">
      <c r="B73" s="10"/>
      <c r="C73" s="10"/>
      <c r="D73" s="103" t="s">
        <v>2</v>
      </c>
      <c r="E73" s="104"/>
      <c r="F73" s="104"/>
      <c r="G73" s="104"/>
      <c r="H73" s="104"/>
      <c r="I73" s="104"/>
      <c r="J73" s="104"/>
      <c r="K73" s="105">
        <f t="shared" ref="K73:P73" si="15">K27/K84</f>
        <v>0.80519977259766051</v>
      </c>
      <c r="L73" s="105">
        <f t="shared" si="15"/>
        <v>0.787435842765418</v>
      </c>
      <c r="M73" s="105">
        <f t="shared" si="15"/>
        <v>0.70747420405474637</v>
      </c>
      <c r="N73" s="105">
        <f t="shared" si="15"/>
        <v>0.50105989153280006</v>
      </c>
      <c r="O73" s="105">
        <f t="shared" si="15"/>
        <v>0.29899999999999999</v>
      </c>
      <c r="P73" s="105">
        <f t="shared" si="15"/>
        <v>0.28419045666022963</v>
      </c>
      <c r="Q73" s="231"/>
      <c r="R73" s="23"/>
      <c r="S73" s="23"/>
      <c r="T73" s="23"/>
      <c r="U73" s="23"/>
      <c r="V73" s="19"/>
    </row>
    <row r="74" spans="2:22">
      <c r="B74" s="10"/>
      <c r="C74" s="10"/>
      <c r="D74" s="103" t="s">
        <v>3</v>
      </c>
      <c r="E74" s="104"/>
      <c r="F74" s="104"/>
      <c r="G74" s="104"/>
      <c r="H74" s="104"/>
      <c r="I74" s="104"/>
      <c r="J74" s="104"/>
      <c r="K74" s="105">
        <f>K28/K84</f>
        <v>0.3423957186861436</v>
      </c>
      <c r="L74" s="105">
        <f>L28/L84</f>
        <v>0.29146111484965165</v>
      </c>
      <c r="M74" s="154">
        <f>M28/M84</f>
        <v>0.43581822169680728</v>
      </c>
      <c r="N74" s="154">
        <f>N28/N84</f>
        <v>0.22196995194893951</v>
      </c>
      <c r="O74" s="104"/>
      <c r="P74" s="104"/>
      <c r="Q74" s="10"/>
      <c r="R74" s="23"/>
      <c r="S74" s="23"/>
      <c r="T74" s="23"/>
      <c r="U74" s="23"/>
      <c r="V74" s="19"/>
    </row>
    <row r="75" spans="2:22">
      <c r="B75" s="10"/>
      <c r="C75" s="10"/>
      <c r="D75" s="98"/>
      <c r="E75" s="99"/>
      <c r="F75" s="99"/>
      <c r="G75" s="99"/>
      <c r="H75" s="99"/>
      <c r="I75" s="99"/>
      <c r="J75" s="99"/>
      <c r="K75" s="106"/>
      <c r="L75" s="106"/>
      <c r="M75" s="99"/>
      <c r="N75" s="99"/>
      <c r="O75" s="99"/>
      <c r="P75" s="99"/>
      <c r="Q75" s="10"/>
      <c r="R75" s="23"/>
      <c r="S75" s="23"/>
      <c r="T75" s="23"/>
      <c r="U75" s="23"/>
      <c r="V75" s="19"/>
    </row>
    <row r="76" spans="2:22">
      <c r="B76" s="10"/>
      <c r="C76" s="10"/>
      <c r="D76" s="3" t="s">
        <v>67</v>
      </c>
      <c r="E76" s="10" t="s">
        <v>52</v>
      </c>
      <c r="F76" s="99"/>
      <c r="G76" s="99"/>
      <c r="H76" s="99"/>
      <c r="I76" s="99"/>
      <c r="J76" s="99"/>
      <c r="K76" s="106"/>
      <c r="L76" s="106"/>
      <c r="M76" s="99"/>
      <c r="N76" s="99"/>
      <c r="O76" s="99"/>
      <c r="P76" s="99"/>
      <c r="Q76" s="10"/>
      <c r="R76" s="23"/>
      <c r="S76" s="23"/>
      <c r="T76" s="23"/>
      <c r="U76" s="23"/>
      <c r="V76" s="19"/>
    </row>
    <row r="77" spans="2:22">
      <c r="B77" s="10"/>
      <c r="C77" s="10"/>
      <c r="D77" s="159"/>
      <c r="E77" s="160">
        <v>2008</v>
      </c>
      <c r="F77" s="160">
        <v>2009</v>
      </c>
      <c r="G77" s="160">
        <v>2010</v>
      </c>
      <c r="H77" s="160">
        <v>2011</v>
      </c>
      <c r="I77" s="160">
        <v>2012</v>
      </c>
      <c r="J77" s="160">
        <v>2013</v>
      </c>
      <c r="K77" s="160">
        <v>2014</v>
      </c>
      <c r="L77" s="160">
        <v>2015</v>
      </c>
      <c r="M77" s="160">
        <v>2016</v>
      </c>
      <c r="N77" s="160">
        <v>2017</v>
      </c>
      <c r="O77" s="160">
        <v>2018</v>
      </c>
      <c r="P77" s="160">
        <v>2019</v>
      </c>
      <c r="Q77" s="10"/>
      <c r="R77" s="23"/>
      <c r="S77" s="23"/>
      <c r="T77" s="23"/>
      <c r="U77" s="23"/>
      <c r="V77" s="19"/>
    </row>
    <row r="78" spans="2:22">
      <c r="B78" s="10"/>
      <c r="C78" s="10"/>
      <c r="D78" s="159" t="s">
        <v>2</v>
      </c>
      <c r="E78" s="161"/>
      <c r="F78" s="161"/>
      <c r="G78" s="161"/>
      <c r="H78" s="161"/>
      <c r="I78" s="161"/>
      <c r="J78" s="161"/>
      <c r="K78" s="162"/>
      <c r="L78" s="162"/>
      <c r="M78" s="162"/>
      <c r="N78" s="162">
        <f>N29/N84</f>
        <v>2.8349993862920373</v>
      </c>
      <c r="O78" s="162">
        <f>O29/O84</f>
        <v>2.7</v>
      </c>
      <c r="P78" s="162">
        <f>P29/P84</f>
        <v>2.5714283947138745</v>
      </c>
      <c r="Q78" s="84"/>
      <c r="R78" s="23"/>
      <c r="S78" s="23"/>
      <c r="T78" s="23"/>
      <c r="U78" s="23"/>
      <c r="V78" s="19"/>
    </row>
    <row r="79" spans="2:22">
      <c r="B79" s="10"/>
      <c r="C79" s="10"/>
      <c r="D79" s="159" t="s">
        <v>3</v>
      </c>
      <c r="E79" s="161"/>
      <c r="F79" s="161"/>
      <c r="G79" s="161"/>
      <c r="H79" s="161"/>
      <c r="I79" s="161"/>
      <c r="J79" s="161"/>
      <c r="K79" s="162"/>
      <c r="L79" s="162"/>
      <c r="M79" s="163">
        <f>M30/M84</f>
        <v>3.9689997422426164</v>
      </c>
      <c r="N79" s="163">
        <f>N30/N84</f>
        <v>2.8349993862920373</v>
      </c>
      <c r="O79" s="161"/>
      <c r="P79" s="161"/>
      <c r="Q79" s="10"/>
      <c r="R79" s="23"/>
      <c r="S79" s="23"/>
      <c r="T79" s="23"/>
      <c r="U79" s="23"/>
      <c r="V79" s="19"/>
    </row>
    <row r="80" spans="2:22" s="4" customFormat="1">
      <c r="B80" s="89"/>
      <c r="C80" s="89"/>
      <c r="D80" s="98"/>
      <c r="E80" s="99"/>
      <c r="F80" s="99"/>
      <c r="G80" s="99"/>
      <c r="H80" s="99"/>
      <c r="I80" s="99"/>
      <c r="J80" s="99"/>
      <c r="K80" s="106"/>
      <c r="L80" s="106"/>
      <c r="M80" s="158"/>
      <c r="N80" s="99"/>
      <c r="O80" s="99"/>
      <c r="P80" s="99"/>
      <c r="Q80" s="91"/>
      <c r="R80" s="23"/>
      <c r="S80" s="23"/>
      <c r="T80" s="23"/>
      <c r="U80" s="23"/>
      <c r="V80" s="19"/>
    </row>
    <row r="81" spans="2:17" ht="16.5" customHeight="1">
      <c r="B81" s="10"/>
      <c r="C81" s="107"/>
      <c r="D81" s="15" t="s">
        <v>8</v>
      </c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10"/>
    </row>
    <row r="82" spans="2:17">
      <c r="B82" s="10"/>
      <c r="C82" s="10"/>
      <c r="D82" s="24">
        <v>2007</v>
      </c>
      <c r="E82" s="24">
        <v>2008</v>
      </c>
      <c r="F82" s="24">
        <v>2009</v>
      </c>
      <c r="G82" s="24">
        <v>2010</v>
      </c>
      <c r="H82" s="24">
        <v>2011</v>
      </c>
      <c r="I82" s="24">
        <v>2012</v>
      </c>
      <c r="J82" s="24">
        <v>2013</v>
      </c>
      <c r="K82" s="24">
        <v>2014</v>
      </c>
      <c r="L82" s="24">
        <v>2015</v>
      </c>
      <c r="M82" s="24">
        <v>2016</v>
      </c>
      <c r="N82" s="24">
        <v>2017</v>
      </c>
      <c r="O82" s="138">
        <v>2018</v>
      </c>
      <c r="P82" s="24">
        <v>2019</v>
      </c>
      <c r="Q82" s="240" t="s">
        <v>30</v>
      </c>
    </row>
    <row r="83" spans="2:17" ht="15" customHeight="1">
      <c r="B83" s="10"/>
      <c r="C83" s="10"/>
      <c r="D83" s="136" t="s">
        <v>18</v>
      </c>
      <c r="E83" s="25">
        <v>412.58</v>
      </c>
      <c r="F83" s="25">
        <v>441.10300000000001</v>
      </c>
      <c r="G83" s="25">
        <v>463.61</v>
      </c>
      <c r="H83" s="25">
        <v>484.19799999999998</v>
      </c>
      <c r="I83" s="25">
        <v>506.16699999999997</v>
      </c>
      <c r="J83" s="25">
        <v>531.274</v>
      </c>
      <c r="K83" s="25">
        <v>559.36099999999999</v>
      </c>
      <c r="L83" s="25">
        <v>592.923</v>
      </c>
      <c r="M83" s="25">
        <v>628.49800000000005</v>
      </c>
      <c r="N83" s="139">
        <v>659.923</v>
      </c>
      <c r="O83" s="145">
        <v>692.91899999999998</v>
      </c>
      <c r="P83" s="145">
        <v>727.56500000000005</v>
      </c>
      <c r="Q83" s="240"/>
    </row>
    <row r="84" spans="2:17">
      <c r="B84" s="10"/>
      <c r="C84" s="10"/>
      <c r="D84" s="136" t="s">
        <v>55</v>
      </c>
      <c r="E84" s="174">
        <f t="shared" ref="E84:M84" si="16">E83/$O$83</f>
        <v>0.59542313026486504</v>
      </c>
      <c r="F84" s="174">
        <f t="shared" si="16"/>
        <v>0.63658667174662553</v>
      </c>
      <c r="G84" s="174">
        <f t="shared" si="16"/>
        <v>0.66906810175503928</v>
      </c>
      <c r="H84" s="174">
        <f t="shared" si="16"/>
        <v>0.69878008829314819</v>
      </c>
      <c r="I84" s="174">
        <f t="shared" si="16"/>
        <v>0.73048509277419149</v>
      </c>
      <c r="J84" s="174">
        <f t="shared" si="16"/>
        <v>0.76671876510818726</v>
      </c>
      <c r="K84" s="174">
        <f t="shared" si="16"/>
        <v>0.80725308441535015</v>
      </c>
      <c r="L84" s="174">
        <f t="shared" si="16"/>
        <v>0.85568876015811379</v>
      </c>
      <c r="M84" s="174">
        <f t="shared" si="16"/>
        <v>0.907029537362953</v>
      </c>
      <c r="N84" s="174">
        <f>N83/$O$83</f>
        <v>0.95238115854811312</v>
      </c>
      <c r="O84" s="174">
        <f>O83/$O$83</f>
        <v>1</v>
      </c>
      <c r="P84" s="174">
        <f>P83/$O$83</f>
        <v>1.0500000721585063</v>
      </c>
      <c r="Q84" s="240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>
      <c r="B86" s="10"/>
      <c r="C86" s="10"/>
      <c r="D86" s="15" t="s">
        <v>9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>
      <c r="B87" s="10"/>
      <c r="C87" s="10"/>
      <c r="D87" s="108"/>
      <c r="E87" s="21">
        <v>2008</v>
      </c>
      <c r="F87" s="21">
        <v>2009</v>
      </c>
      <c r="G87" s="21">
        <v>2010</v>
      </c>
      <c r="H87" s="21">
        <v>2011</v>
      </c>
      <c r="I87" s="21">
        <v>2012</v>
      </c>
      <c r="J87" s="21">
        <v>2013</v>
      </c>
      <c r="K87" s="21">
        <v>2014</v>
      </c>
      <c r="L87" s="21">
        <v>2015</v>
      </c>
      <c r="M87" s="21">
        <v>2016</v>
      </c>
      <c r="N87" s="21">
        <v>2017</v>
      </c>
      <c r="O87" s="21">
        <v>2018</v>
      </c>
      <c r="P87" s="21">
        <v>2019</v>
      </c>
      <c r="Q87" s="10"/>
    </row>
    <row r="88" spans="2:17">
      <c r="B88" s="10"/>
      <c r="C88" s="10"/>
      <c r="D88" s="108" t="s">
        <v>2</v>
      </c>
      <c r="E88" s="126">
        <f>6999400/1000</f>
        <v>6999.4</v>
      </c>
      <c r="F88" s="126">
        <f>6676700/1000</f>
        <v>6676.7</v>
      </c>
      <c r="G88" s="126">
        <f>7489700/1000</f>
        <v>7489.7</v>
      </c>
      <c r="H88" s="126">
        <f>9328200/1000</f>
        <v>9328.2000000000007</v>
      </c>
      <c r="I88" s="126">
        <f>10560300/1000</f>
        <v>10560.3</v>
      </c>
      <c r="J88" s="126">
        <f>13030800/1000</f>
        <v>13030.8</v>
      </c>
      <c r="K88" s="126">
        <f>15294500/1000</f>
        <v>15294.5</v>
      </c>
      <c r="L88" s="126">
        <f>16199100/1000</f>
        <v>16199.1</v>
      </c>
      <c r="M88" s="108">
        <f>14762600000/1000000</f>
        <v>14762.6</v>
      </c>
      <c r="N88" s="126">
        <f>13349500000/1000000</f>
        <v>13349.5</v>
      </c>
      <c r="O88" s="126">
        <v>14717.9</v>
      </c>
      <c r="P88" s="126">
        <v>16133.5</v>
      </c>
      <c r="Q88" s="10"/>
    </row>
    <row r="89" spans="2:17">
      <c r="B89" s="10"/>
      <c r="C89" s="10"/>
      <c r="D89" s="108" t="s">
        <v>3</v>
      </c>
      <c r="E89" s="126">
        <f>7551800/1000</f>
        <v>7551.8</v>
      </c>
      <c r="F89" s="126">
        <f>6687500/1000</f>
        <v>6687.5</v>
      </c>
      <c r="G89" s="126">
        <f>8092600/1000</f>
        <v>8092.6</v>
      </c>
      <c r="H89" s="126">
        <f>9370600/1000</f>
        <v>9370.6</v>
      </c>
      <c r="I89" s="126">
        <f>10046900/1000</f>
        <v>10046.9</v>
      </c>
      <c r="J89" s="126">
        <f>12505000/1000</f>
        <v>12505</v>
      </c>
      <c r="K89" s="126">
        <f>15453900/1000</f>
        <v>15453.9</v>
      </c>
      <c r="L89" s="126">
        <f>13788800/1000</f>
        <v>13788.8</v>
      </c>
      <c r="M89" s="150">
        <v>13572.4</v>
      </c>
      <c r="N89" s="126">
        <v>16133.5</v>
      </c>
      <c r="O89" s="108"/>
      <c r="P89" s="108"/>
      <c r="Q89" s="10"/>
    </row>
    <row r="90" spans="2:17">
      <c r="B90" s="10"/>
      <c r="C90" s="10"/>
      <c r="D90" s="10"/>
      <c r="E90" s="9"/>
      <c r="F90" s="9"/>
      <c r="G90" s="9"/>
      <c r="H90" s="41"/>
      <c r="I90" s="41"/>
      <c r="J90" s="9"/>
      <c r="K90" s="9"/>
      <c r="L90" s="5"/>
      <c r="M90" s="84"/>
      <c r="N90" s="10"/>
      <c r="O90" s="10"/>
      <c r="P90" s="10"/>
      <c r="Q90" s="10"/>
    </row>
    <row r="91" spans="2:17">
      <c r="B91" s="10"/>
      <c r="C91" s="109"/>
      <c r="D91" s="15" t="s">
        <v>53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>
      <c r="B92" s="10"/>
      <c r="C92" s="10"/>
      <c r="D92" s="147"/>
      <c r="E92" s="20">
        <v>2008</v>
      </c>
      <c r="F92" s="20">
        <v>2009</v>
      </c>
      <c r="G92" s="20">
        <v>2010</v>
      </c>
      <c r="H92" s="20">
        <v>2011</v>
      </c>
      <c r="I92" s="20">
        <v>2012</v>
      </c>
      <c r="J92" s="20">
        <v>2013</v>
      </c>
      <c r="K92" s="20">
        <v>2014</v>
      </c>
      <c r="L92" s="20">
        <v>2015</v>
      </c>
      <c r="M92" s="20">
        <v>2016</v>
      </c>
      <c r="N92" s="20">
        <v>2017</v>
      </c>
      <c r="O92" s="20">
        <v>2018</v>
      </c>
      <c r="P92" s="20">
        <v>2019</v>
      </c>
      <c r="Q92" s="10"/>
    </row>
    <row r="93" spans="2:17">
      <c r="B93" s="10"/>
      <c r="C93" s="10"/>
      <c r="D93" s="110" t="s">
        <v>2</v>
      </c>
      <c r="E93" s="176">
        <f t="shared" ref="E93:N93" si="17">E51/(E88/E84)</f>
        <v>3.2717947252621652E-3</v>
      </c>
      <c r="F93" s="176">
        <f t="shared" si="17"/>
        <v>4.261042131591954E-3</v>
      </c>
      <c r="G93" s="176">
        <f t="shared" si="17"/>
        <v>3.8918381243574504E-3</v>
      </c>
      <c r="H93" s="176">
        <f t="shared" si="17"/>
        <v>3.4001200660363205E-3</v>
      </c>
      <c r="I93" s="176">
        <f t="shared" si="17"/>
        <v>4.3867409069818101E-3</v>
      </c>
      <c r="J93" s="176">
        <f t="shared" si="17"/>
        <v>4.4148172023206547E-3</v>
      </c>
      <c r="K93" s="176">
        <f t="shared" si="17"/>
        <v>3.7844846186537639E-3</v>
      </c>
      <c r="L93" s="176">
        <f t="shared" si="17"/>
        <v>3.6046693952133139E-3</v>
      </c>
      <c r="M93" s="176">
        <f t="shared" si="17"/>
        <v>3.1575603213526071E-3</v>
      </c>
      <c r="N93" s="176">
        <f t="shared" si="17"/>
        <v>2.9038390950971945E-3</v>
      </c>
      <c r="O93" s="177">
        <f>O51/(O88/O84)</f>
        <v>2.6712302706228472E-3</v>
      </c>
      <c r="P93" s="177">
        <f>P51/(P88/P84)</f>
        <v>2.9281767750333155E-3</v>
      </c>
      <c r="Q93" s="10"/>
    </row>
    <row r="94" spans="2:17">
      <c r="B94" s="10"/>
      <c r="C94" s="10"/>
      <c r="D94" s="110" t="s">
        <v>3</v>
      </c>
      <c r="E94" s="176">
        <f t="shared" ref="E94:K94" si="18">E52/(E89/E84)</f>
        <v>3.7329510845096532E-3</v>
      </c>
      <c r="F94" s="176">
        <f t="shared" si="18"/>
        <v>4.2497196261682239E-3</v>
      </c>
      <c r="G94" s="176">
        <f t="shared" si="18"/>
        <v>3.5948644440600046E-3</v>
      </c>
      <c r="H94" s="176">
        <f t="shared" si="18"/>
        <v>3.9951764027917102E-3</v>
      </c>
      <c r="I94" s="176">
        <f t="shared" si="18"/>
        <v>3.8699300281678927E-3</v>
      </c>
      <c r="J94" s="176">
        <f t="shared" si="18"/>
        <v>3.8715553778488608E-3</v>
      </c>
      <c r="K94" s="176">
        <f t="shared" si="18"/>
        <v>2.5651906638453721E-3</v>
      </c>
      <c r="L94" s="176">
        <f>L52/(L89/L84)</f>
        <v>2.9190502436760271E-3</v>
      </c>
      <c r="M94" s="177">
        <f>M52/(M89/M84)</f>
        <v>3.1342945978603638E-3</v>
      </c>
      <c r="N94" s="177">
        <f>N52/(N89/N84)</f>
        <v>2.4402020640282643E-3</v>
      </c>
      <c r="O94" s="178"/>
      <c r="P94" s="178"/>
      <c r="Q94" s="10"/>
    </row>
    <row r="95" spans="2:17">
      <c r="B95" s="10"/>
      <c r="C95" s="10"/>
      <c r="D95" s="98"/>
      <c r="E95" s="26"/>
      <c r="F95" s="26"/>
      <c r="G95" s="26"/>
      <c r="H95" s="26"/>
      <c r="I95" s="26"/>
      <c r="J95" s="26"/>
      <c r="K95" s="26"/>
      <c r="L95" s="26"/>
      <c r="M95" s="111"/>
      <c r="N95" s="111"/>
      <c r="O95" s="111"/>
      <c r="P95" s="111"/>
      <c r="Q95" s="10"/>
    </row>
    <row r="96" spans="2:17">
      <c r="B96" s="10"/>
      <c r="C96" s="10"/>
      <c r="D96" s="3" t="s">
        <v>22</v>
      </c>
      <c r="E96" s="54"/>
      <c r="F96" s="26"/>
      <c r="G96" s="26"/>
      <c r="H96" s="26"/>
      <c r="I96" s="26"/>
      <c r="J96" s="26"/>
      <c r="K96" s="26"/>
      <c r="L96" s="26"/>
      <c r="M96" s="111"/>
      <c r="N96" s="111"/>
      <c r="O96" s="111"/>
      <c r="P96" s="111"/>
      <c r="Q96" s="10"/>
    </row>
    <row r="97" spans="2:18">
      <c r="B97" s="10"/>
      <c r="C97" s="10"/>
      <c r="D97" s="112"/>
      <c r="E97" s="21">
        <v>2008</v>
      </c>
      <c r="F97" s="21">
        <v>2009</v>
      </c>
      <c r="G97" s="21">
        <v>2010</v>
      </c>
      <c r="H97" s="21">
        <v>2011</v>
      </c>
      <c r="I97" s="21">
        <v>2012</v>
      </c>
      <c r="J97" s="21">
        <v>2013</v>
      </c>
      <c r="K97" s="21">
        <v>2014</v>
      </c>
      <c r="L97" s="21">
        <v>2015</v>
      </c>
      <c r="M97" s="21">
        <v>2016</v>
      </c>
      <c r="N97" s="21">
        <v>2017</v>
      </c>
      <c r="O97" s="21">
        <v>2018</v>
      </c>
      <c r="P97" s="21">
        <v>2019</v>
      </c>
      <c r="Q97" s="234"/>
    </row>
    <row r="98" spans="2:18">
      <c r="B98" s="10"/>
      <c r="C98" s="10"/>
      <c r="D98" s="108" t="s">
        <v>10</v>
      </c>
      <c r="E98" s="228">
        <v>10.19</v>
      </c>
      <c r="F98" s="228">
        <v>6.7</v>
      </c>
      <c r="G98" s="228">
        <v>15.71</v>
      </c>
      <c r="H98" s="228">
        <v>16.11</v>
      </c>
      <c r="I98" s="228">
        <v>18.48</v>
      </c>
      <c r="J98" s="228">
        <v>17.059999999999999</v>
      </c>
      <c r="K98" s="228">
        <v>17.79</v>
      </c>
      <c r="L98" s="228">
        <v>16.350000000000001</v>
      </c>
      <c r="M98" s="229">
        <v>15.38</v>
      </c>
      <c r="N98" s="230">
        <v>16.829999999999998</v>
      </c>
      <c r="O98" s="113"/>
      <c r="P98" s="113"/>
      <c r="Q98" s="98" t="s">
        <v>78</v>
      </c>
      <c r="R98" s="26"/>
    </row>
    <row r="99" spans="2:18">
      <c r="B99" s="10"/>
      <c r="C99" s="10"/>
      <c r="D99" s="140" t="s">
        <v>11</v>
      </c>
      <c r="E99" s="29"/>
      <c r="F99" s="29"/>
      <c r="G99" s="28"/>
      <c r="H99" s="28"/>
      <c r="I99" s="171">
        <v>25</v>
      </c>
      <c r="J99" s="171">
        <v>25</v>
      </c>
      <c r="K99" s="171">
        <v>25</v>
      </c>
      <c r="L99" s="171">
        <v>25</v>
      </c>
      <c r="M99" s="172">
        <v>28</v>
      </c>
      <c r="N99" s="172">
        <v>29</v>
      </c>
      <c r="O99" s="114"/>
      <c r="P99" s="114"/>
      <c r="Q99" s="156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8">
      <c r="B101" s="10"/>
      <c r="C101" s="10"/>
      <c r="D101" s="15" t="s">
        <v>56</v>
      </c>
      <c r="E101" s="10" t="s">
        <v>52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8">
      <c r="B102" s="10"/>
      <c r="C102" s="10"/>
      <c r="D102" s="96"/>
      <c r="E102" s="13">
        <v>2008</v>
      </c>
      <c r="F102" s="13">
        <v>2009</v>
      </c>
      <c r="G102" s="13">
        <v>2010</v>
      </c>
      <c r="H102" s="13">
        <v>2011</v>
      </c>
      <c r="I102" s="13">
        <v>2012</v>
      </c>
      <c r="J102" s="13">
        <v>2013</v>
      </c>
      <c r="K102" s="13">
        <v>2014</v>
      </c>
      <c r="L102" s="13">
        <v>2015</v>
      </c>
      <c r="M102" s="13">
        <v>2016</v>
      </c>
      <c r="N102" s="13">
        <v>2017</v>
      </c>
      <c r="O102" s="13">
        <v>2018</v>
      </c>
      <c r="P102" s="13">
        <v>2019</v>
      </c>
      <c r="Q102" s="10"/>
    </row>
    <row r="103" spans="2:18">
      <c r="B103" s="10"/>
      <c r="C103" s="10"/>
      <c r="D103" s="96" t="s">
        <v>2</v>
      </c>
      <c r="E103" s="96"/>
      <c r="F103" s="96"/>
      <c r="G103" s="96"/>
      <c r="H103" s="96"/>
      <c r="I103" s="96"/>
      <c r="J103" s="169">
        <f>(725.4/J84)/1000</f>
        <v>0.94610962064772597</v>
      </c>
      <c r="K103" s="169">
        <f>(827.2/K84)/1000</f>
        <v>1.024709618296592</v>
      </c>
      <c r="L103" s="169">
        <f>(904.7/L84)/1000</f>
        <v>1.0572769470909376</v>
      </c>
      <c r="M103" s="169">
        <f>(902.9/M84)/1000</f>
        <v>0.99544718535301613</v>
      </c>
      <c r="N103" s="169">
        <f>(1274.3/L84)/1000</f>
        <v>1.4892096978865721</v>
      </c>
      <c r="O103" s="151">
        <f>(1307.8/O84)/1000</f>
        <v>1.3077999999999999</v>
      </c>
      <c r="P103" s="151">
        <f>(1339.7/P84)/1000</f>
        <v>1.2759046742215472</v>
      </c>
      <c r="Q103" s="10"/>
    </row>
    <row r="104" spans="2:18">
      <c r="B104" s="10"/>
      <c r="C104" s="10"/>
      <c r="D104" s="169" t="s">
        <v>3</v>
      </c>
      <c r="E104" s="169"/>
      <c r="F104" s="169"/>
      <c r="G104" s="169"/>
      <c r="H104" s="169"/>
      <c r="I104" s="169">
        <f>(957.3/I84)/1000</f>
        <v>1.3104990224570152</v>
      </c>
      <c r="J104" s="169">
        <f>(1281.9/J84)/1000</f>
        <v>1.6719298631214778</v>
      </c>
      <c r="K104" s="169">
        <f>(949.3/K84)/1000</f>
        <v>1.1759632986568602</v>
      </c>
      <c r="L104" s="169">
        <f>(1231.7/L84)/1000</f>
        <v>1.439425241220192</v>
      </c>
      <c r="M104" s="169">
        <f>(2019.5/M84)/1000</f>
        <v>2.226498605405268</v>
      </c>
      <c r="N104" s="169">
        <f>(1496.5/N84)/1000</f>
        <v>1.5713246598466792</v>
      </c>
      <c r="O104" s="169"/>
      <c r="P104" s="169"/>
      <c r="Q104" s="10"/>
    </row>
    <row r="105" spans="2:18">
      <c r="B105" s="10"/>
      <c r="C105" s="10"/>
      <c r="D105" s="89"/>
      <c r="E105" s="89"/>
      <c r="F105" s="89"/>
      <c r="G105" s="89"/>
      <c r="H105" s="89"/>
      <c r="I105" s="89"/>
      <c r="J105" s="89"/>
      <c r="K105" s="170"/>
      <c r="L105" s="170"/>
      <c r="M105" s="84"/>
      <c r="N105" s="84"/>
      <c r="O105" s="1"/>
      <c r="P105" s="1"/>
      <c r="Q105" s="10"/>
    </row>
    <row r="106" spans="2:18" s="4" customFormat="1">
      <c r="B106" s="89"/>
      <c r="C106" s="89"/>
      <c r="D106" s="3" t="s">
        <v>54</v>
      </c>
      <c r="E106" s="10" t="s">
        <v>52</v>
      </c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</row>
    <row r="107" spans="2:18">
      <c r="B107" s="10"/>
      <c r="C107" s="10"/>
      <c r="D107" s="101"/>
      <c r="E107" s="31">
        <v>2008</v>
      </c>
      <c r="F107" s="31">
        <v>2009</v>
      </c>
      <c r="G107" s="31">
        <v>2010</v>
      </c>
      <c r="H107" s="31">
        <v>2011</v>
      </c>
      <c r="I107" s="31">
        <v>2012</v>
      </c>
      <c r="J107" s="31">
        <v>2013</v>
      </c>
      <c r="K107" s="31">
        <v>2014</v>
      </c>
      <c r="L107" s="31">
        <v>2015</v>
      </c>
      <c r="M107" s="31">
        <v>2016</v>
      </c>
      <c r="N107" s="31">
        <v>2017</v>
      </c>
      <c r="O107" s="31">
        <v>2018</v>
      </c>
      <c r="P107" s="31">
        <v>2019</v>
      </c>
      <c r="Q107" s="10"/>
    </row>
    <row r="108" spans="2:18">
      <c r="B108" s="10"/>
      <c r="C108" s="10"/>
      <c r="D108" s="101" t="s">
        <v>2</v>
      </c>
      <c r="E108" s="115">
        <f>E88/E84</f>
        <v>11755.337749284987</v>
      </c>
      <c r="F108" s="115">
        <f t="shared" ref="F108:N108" si="19">F88/F84</f>
        <v>10488.281166303561</v>
      </c>
      <c r="G108" s="115">
        <f t="shared" si="19"/>
        <v>11194.226686870428</v>
      </c>
      <c r="H108" s="115">
        <f t="shared" si="19"/>
        <v>13349.264176638484</v>
      </c>
      <c r="I108" s="115">
        <f t="shared" si="19"/>
        <v>14456.557846916136</v>
      </c>
      <c r="J108" s="115">
        <f t="shared" si="19"/>
        <v>16995.540728889424</v>
      </c>
      <c r="K108" s="115">
        <f t="shared" si="19"/>
        <v>18946.350649222954</v>
      </c>
      <c r="L108" s="115">
        <f t="shared" si="19"/>
        <v>18931.06553953886</v>
      </c>
      <c r="M108" s="115">
        <f>M88/M84</f>
        <v>16275.765443008569</v>
      </c>
      <c r="N108" s="115">
        <f t="shared" si="19"/>
        <v>14016.971965668723</v>
      </c>
      <c r="O108" s="115">
        <f>O88/O84</f>
        <v>14717.9</v>
      </c>
      <c r="P108" s="115">
        <f>P88/P84</f>
        <v>15365.23703930233</v>
      </c>
      <c r="Q108" s="10"/>
    </row>
    <row r="109" spans="2:18">
      <c r="B109" s="10"/>
      <c r="C109" s="10"/>
      <c r="D109" s="101" t="s">
        <v>3</v>
      </c>
      <c r="E109" s="115">
        <f>E89/E84</f>
        <v>12683.081351980221</v>
      </c>
      <c r="F109" s="115">
        <f t="shared" ref="F109:L109" si="20">F89/F84</f>
        <v>10505.246648741904</v>
      </c>
      <c r="G109" s="115">
        <f t="shared" si="20"/>
        <v>12095.33077241647</v>
      </c>
      <c r="H109" s="115">
        <f t="shared" si="20"/>
        <v>13409.941349200122</v>
      </c>
      <c r="I109" s="115">
        <f t="shared" si="20"/>
        <v>13753.737207482905</v>
      </c>
      <c r="J109" s="115">
        <f t="shared" si="20"/>
        <v>16309.761243727342</v>
      </c>
      <c r="K109" s="115">
        <f t="shared" si="20"/>
        <v>19143.810408841517</v>
      </c>
      <c r="L109" s="115">
        <f t="shared" si="20"/>
        <v>16114.270330548821</v>
      </c>
      <c r="M109" s="115">
        <f>M89/M84</f>
        <v>14963.570028226024</v>
      </c>
      <c r="N109" s="115">
        <f>N89/N84</f>
        <v>16940.171332867623</v>
      </c>
      <c r="O109" s="115"/>
      <c r="P109" s="115"/>
      <c r="Q109" s="10"/>
    </row>
    <row r="110" spans="2:18">
      <c r="B110" s="10"/>
      <c r="C110" s="116"/>
      <c r="D110" s="98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0"/>
    </row>
    <row r="111" spans="2:18">
      <c r="B111" s="10"/>
      <c r="C111" s="116"/>
      <c r="D111" s="53" t="s">
        <v>14</v>
      </c>
      <c r="E111" s="98"/>
      <c r="F111" s="98"/>
      <c r="G111" s="98"/>
      <c r="H111" s="98"/>
      <c r="I111" s="98"/>
      <c r="J111" s="98"/>
      <c r="K111" s="98"/>
      <c r="L111" s="98"/>
      <c r="M111" s="116"/>
      <c r="N111" s="116"/>
      <c r="O111" s="116"/>
      <c r="P111" s="116"/>
      <c r="Q111" s="10"/>
    </row>
    <row r="112" spans="2:18">
      <c r="B112" s="10"/>
      <c r="C112" s="10"/>
      <c r="D112" s="87"/>
      <c r="E112" s="17">
        <v>2008</v>
      </c>
      <c r="F112" s="17">
        <v>2009</v>
      </c>
      <c r="G112" s="17">
        <v>2010</v>
      </c>
      <c r="H112" s="17">
        <v>2011</v>
      </c>
      <c r="I112" s="17">
        <v>2012</v>
      </c>
      <c r="J112" s="17">
        <v>2013</v>
      </c>
      <c r="K112" s="17">
        <v>2014</v>
      </c>
      <c r="L112" s="17">
        <v>2015</v>
      </c>
      <c r="M112" s="17">
        <v>2016</v>
      </c>
      <c r="N112" s="17">
        <v>2017</v>
      </c>
      <c r="O112" s="17">
        <v>2018</v>
      </c>
      <c r="P112" s="17">
        <v>2019</v>
      </c>
      <c r="Q112" s="10"/>
    </row>
    <row r="113" spans="2:17">
      <c r="B113" s="10"/>
      <c r="C113" s="10"/>
      <c r="D113" s="39" t="s">
        <v>12</v>
      </c>
      <c r="E113" s="48">
        <f t="shared" ref="E113:J113" si="21">(E109-E52)/(E108-E51)</f>
        <v>1.0784218658429183</v>
      </c>
      <c r="F113" s="48">
        <f t="shared" si="21"/>
        <v>1.0016289549146489</v>
      </c>
      <c r="G113" s="48">
        <f t="shared" si="21"/>
        <v>1.080819349100917</v>
      </c>
      <c r="H113" s="48">
        <f t="shared" si="21"/>
        <v>1.0039455566153352</v>
      </c>
      <c r="I113" s="48">
        <f t="shared" si="21"/>
        <v>0.95187780887469697</v>
      </c>
      <c r="J113" s="48">
        <f t="shared" si="21"/>
        <v>0.96017309866808154</v>
      </c>
      <c r="K113" s="48">
        <f>(K109-K52)/(K108-K51)</f>
        <v>1.0116587288378729</v>
      </c>
      <c r="L113" s="48">
        <f>(L109-L52)/(L108-L51)</f>
        <v>0.85179349881785849</v>
      </c>
      <c r="M113" s="48">
        <f>(M109-M52)/(M108-M51)</f>
        <v>0.91939880318724398</v>
      </c>
      <c r="N113" s="48">
        <f>(N109-N52)/(N108-N51)</f>
        <v>1.2091090956418395</v>
      </c>
      <c r="O113" s="37"/>
      <c r="P113" s="37"/>
      <c r="Q113" s="10"/>
    </row>
    <row r="114" spans="2:17">
      <c r="B114" s="10"/>
      <c r="C114" s="10"/>
      <c r="D114" s="39" t="s">
        <v>13</v>
      </c>
      <c r="E114" s="49">
        <f t="shared" ref="E114:J114" si="22">E52/E51</f>
        <v>1.2309939477568272</v>
      </c>
      <c r="F114" s="49">
        <f t="shared" si="22"/>
        <v>0.99895605226065654</v>
      </c>
      <c r="G114" s="49">
        <f t="shared" si="22"/>
        <v>0.99804794038842204</v>
      </c>
      <c r="H114" s="49">
        <f t="shared" si="22"/>
        <v>1.1803512312009332</v>
      </c>
      <c r="I114" s="49">
        <f t="shared" si="22"/>
        <v>0.83929947566448559</v>
      </c>
      <c r="J114" s="49">
        <f t="shared" si="22"/>
        <v>0.84156054553735027</v>
      </c>
      <c r="K114" s="49">
        <f>K52/K51</f>
        <v>0.68488194907552968</v>
      </c>
      <c r="L114" s="50">
        <f>L52/L51</f>
        <v>0.68930545755954553</v>
      </c>
      <c r="M114" s="50">
        <f>M52/M51</f>
        <v>0.91260313469401766</v>
      </c>
      <c r="N114" s="50">
        <f>N52/N51</f>
        <v>1.0155863051015355</v>
      </c>
      <c r="O114" s="38"/>
      <c r="P114" s="38"/>
      <c r="Q114" s="10"/>
    </row>
    <row r="115" spans="2:17">
      <c r="B115" s="10"/>
      <c r="C115" s="10"/>
      <c r="D115" s="40"/>
      <c r="E115" s="10"/>
      <c r="F115" s="10"/>
      <c r="G115" s="10"/>
      <c r="H115" s="10"/>
      <c r="I115" s="10"/>
      <c r="J115" s="10"/>
      <c r="K115" s="10"/>
      <c r="L115" s="10"/>
      <c r="M115" s="98"/>
      <c r="N115" s="98"/>
      <c r="O115" s="98"/>
      <c r="P115" s="98"/>
      <c r="Q115" s="10"/>
    </row>
    <row r="116" spans="2:17" ht="28.5" customHeight="1">
      <c r="B116" s="10"/>
      <c r="C116" s="10"/>
      <c r="D116" s="60" t="s">
        <v>25</v>
      </c>
      <c r="E116" s="10" t="s">
        <v>52</v>
      </c>
      <c r="F116" s="22"/>
      <c r="G116" s="10"/>
      <c r="H116" s="10"/>
      <c r="I116" s="10"/>
      <c r="J116" s="10"/>
      <c r="K116" s="10"/>
      <c r="L116" s="10"/>
      <c r="M116" s="52"/>
      <c r="N116" s="3"/>
      <c r="O116" s="3" t="s">
        <v>2</v>
      </c>
      <c r="P116" s="3" t="s">
        <v>2</v>
      </c>
      <c r="Q116" s="10"/>
    </row>
    <row r="117" spans="2:17">
      <c r="B117" s="10"/>
      <c r="C117" s="10"/>
      <c r="D117" s="56"/>
      <c r="E117" s="12">
        <v>2008</v>
      </c>
      <c r="F117" s="12">
        <v>2009</v>
      </c>
      <c r="G117" s="12">
        <v>2010</v>
      </c>
      <c r="H117" s="12">
        <v>2011</v>
      </c>
      <c r="I117" s="12">
        <v>2012</v>
      </c>
      <c r="J117" s="12">
        <v>2013</v>
      </c>
      <c r="K117" s="12">
        <v>2014</v>
      </c>
      <c r="L117" s="12">
        <v>2015</v>
      </c>
      <c r="M117" s="12">
        <v>2016</v>
      </c>
      <c r="N117" s="12">
        <v>2017</v>
      </c>
      <c r="O117" s="12">
        <v>2018</v>
      </c>
      <c r="P117" s="12">
        <v>2019</v>
      </c>
      <c r="Q117" s="10"/>
    </row>
    <row r="118" spans="2:17">
      <c r="B118" s="10"/>
      <c r="C118" s="10"/>
      <c r="D118" s="55" t="s">
        <v>23</v>
      </c>
      <c r="E118" s="100">
        <v>18.116883669106599</v>
      </c>
      <c r="F118" s="100">
        <v>20.004651793345321</v>
      </c>
      <c r="G118" s="100">
        <v>19.033480554776645</v>
      </c>
      <c r="H118" s="100">
        <v>19.135389894216832</v>
      </c>
      <c r="I118" s="100">
        <v>21.751769601732239</v>
      </c>
      <c r="J118" s="100">
        <v>21.426525250624</v>
      </c>
      <c r="K118" s="100">
        <v>20.900082948221275</v>
      </c>
      <c r="L118" s="100">
        <v>20.3986276666616</v>
      </c>
      <c r="M118" s="100">
        <f>M37</f>
        <v>20.008168700616388</v>
      </c>
      <c r="N118" s="100">
        <f>N37</f>
        <v>21.729745296042115</v>
      </c>
      <c r="O118" s="152">
        <f>O36</f>
        <v>20.132000000000001</v>
      </c>
      <c r="P118" s="152">
        <f>P36</f>
        <v>24.817141151649679</v>
      </c>
    </row>
    <row r="119" spans="2:17">
      <c r="B119" s="10"/>
      <c r="C119" s="10"/>
      <c r="D119" s="55" t="s">
        <v>68</v>
      </c>
      <c r="E119" s="100">
        <v>0.81148112996267419</v>
      </c>
      <c r="F119" s="100">
        <v>0.20560336565382692</v>
      </c>
      <c r="G119" s="100">
        <v>0.65085285002480542</v>
      </c>
      <c r="H119" s="100">
        <v>0.93872703646029132</v>
      </c>
      <c r="I119" s="100">
        <v>0.67522618503379317</v>
      </c>
      <c r="J119" s="100">
        <v>0.52856512157568425</v>
      </c>
      <c r="K119" s="100">
        <v>1.0166332482958234</v>
      </c>
      <c r="L119" s="100">
        <v>1.13239731533437</v>
      </c>
      <c r="M119" s="100">
        <f>M42</f>
        <v>1.8848338775938824</v>
      </c>
      <c r="N119" s="100">
        <f>N42</f>
        <v>1.3257297130119725</v>
      </c>
      <c r="O119" s="152">
        <f>O41</f>
        <v>0.68989999999999996</v>
      </c>
      <c r="P119" s="152">
        <f>P41</f>
        <v>0.64127614640616304</v>
      </c>
    </row>
    <row r="120" spans="2:17">
      <c r="B120" s="10"/>
      <c r="C120" s="10"/>
      <c r="D120" s="56" t="s">
        <v>24</v>
      </c>
      <c r="E120" s="100">
        <v>24.01524097193272</v>
      </c>
      <c r="F120" s="100">
        <v>20.283491562288177</v>
      </c>
      <c r="G120" s="100">
        <v>19.75428551282328</v>
      </c>
      <c r="H120" s="100">
        <v>20.991556462438925</v>
      </c>
      <c r="I120" s="100">
        <v>22.125515614411846</v>
      </c>
      <c r="J120" s="100">
        <v>27.629002717994862</v>
      </c>
      <c r="K120" s="100">
        <v>22.314695304105939</v>
      </c>
      <c r="L120" s="100">
        <v>20.869797381784821</v>
      </c>
      <c r="M120" s="100">
        <f>M47</f>
        <v>24.571415904266996</v>
      </c>
      <c r="N120" s="100">
        <f>N47</f>
        <v>18.059996090452977</v>
      </c>
      <c r="O120" s="152">
        <f>O46</f>
        <v>17.693999999999999</v>
      </c>
      <c r="P120" s="152">
        <f>P46</f>
        <v>18.868570131878251</v>
      </c>
    </row>
    <row r="121" spans="2:17">
      <c r="B121" s="10"/>
      <c r="C121" s="10"/>
      <c r="D121" s="56" t="s">
        <v>57</v>
      </c>
      <c r="E121" s="100"/>
      <c r="F121" s="100"/>
      <c r="G121" s="100"/>
      <c r="H121" s="100">
        <v>7.5285077592224683</v>
      </c>
      <c r="I121" s="100">
        <v>3.7250433157436187</v>
      </c>
      <c r="J121" s="100">
        <v>7.6895104974081177</v>
      </c>
      <c r="K121" s="100">
        <v>0</v>
      </c>
      <c r="L121" s="59">
        <v>0</v>
      </c>
      <c r="M121" s="100">
        <v>0</v>
      </c>
      <c r="N121" s="100">
        <f>N69</f>
        <v>0</v>
      </c>
      <c r="O121" s="152">
        <f>O68</f>
        <v>0.5</v>
      </c>
      <c r="P121" s="152">
        <f>P68</f>
        <v>0.38095235477242584</v>
      </c>
      <c r="Q121" s="141"/>
    </row>
    <row r="122" spans="2:17">
      <c r="B122" s="10"/>
      <c r="C122" s="10"/>
      <c r="D122" s="56" t="s">
        <v>73</v>
      </c>
      <c r="E122" s="100"/>
      <c r="F122" s="100"/>
      <c r="G122" s="100"/>
      <c r="H122" s="100"/>
      <c r="I122" s="100"/>
      <c r="J122" s="100"/>
      <c r="K122" s="100">
        <v>0.3105630303149487</v>
      </c>
      <c r="L122" s="100">
        <v>0.26436384016137005</v>
      </c>
      <c r="M122" s="100">
        <f>M74</f>
        <v>0.43581822169680728</v>
      </c>
      <c r="N122" s="100">
        <f>N74</f>
        <v>0.22196995194893951</v>
      </c>
      <c r="O122" s="152">
        <f>O73</f>
        <v>0.29899999999999999</v>
      </c>
      <c r="P122" s="152">
        <f>P73</f>
        <v>0.28419045666022963</v>
      </c>
      <c r="Q122" s="10"/>
    </row>
    <row r="123" spans="2:17">
      <c r="B123" s="10"/>
      <c r="C123" s="10"/>
      <c r="D123" s="98"/>
      <c r="E123" s="99"/>
      <c r="F123" s="99"/>
      <c r="G123" s="99"/>
      <c r="H123" s="99"/>
      <c r="I123" s="99"/>
      <c r="J123" s="99"/>
      <c r="K123" s="106"/>
      <c r="L123" s="106"/>
      <c r="M123" s="99"/>
      <c r="N123" s="99"/>
      <c r="O123" s="99"/>
      <c r="P123" s="99"/>
      <c r="Q123" s="10"/>
    </row>
    <row r="124" spans="2:17">
      <c r="B124" s="10"/>
      <c r="C124" s="10"/>
      <c r="D124" s="98"/>
      <c r="E124" s="99"/>
      <c r="F124" s="99"/>
      <c r="G124" s="99"/>
      <c r="H124" s="99"/>
      <c r="I124" s="99"/>
      <c r="J124" s="99"/>
      <c r="K124" s="106"/>
      <c r="L124" s="106"/>
      <c r="M124" s="99"/>
      <c r="N124" s="99"/>
      <c r="O124" s="99"/>
      <c r="P124" s="99"/>
      <c r="Q124" s="10"/>
    </row>
    <row r="125" spans="2:17">
      <c r="B125" s="10"/>
      <c r="C125" s="10"/>
      <c r="D125" s="47" t="s">
        <v>26</v>
      </c>
      <c r="E125" s="44"/>
      <c r="F125" s="44"/>
      <c r="G125" s="44"/>
      <c r="H125" s="44"/>
      <c r="I125" s="44"/>
      <c r="J125" s="99"/>
      <c r="K125" s="106"/>
      <c r="L125" s="106"/>
      <c r="M125" s="99"/>
      <c r="N125" s="99"/>
      <c r="O125" s="99"/>
      <c r="P125" s="99"/>
      <c r="Q125" s="10"/>
    </row>
    <row r="126" spans="2:17">
      <c r="B126" s="10"/>
      <c r="C126" s="10"/>
      <c r="D126" s="118"/>
      <c r="E126" s="46">
        <v>2008</v>
      </c>
      <c r="F126" s="46">
        <v>2009</v>
      </c>
      <c r="G126" s="46">
        <v>2010</v>
      </c>
      <c r="H126" s="46">
        <v>2011</v>
      </c>
      <c r="I126" s="46">
        <v>2012</v>
      </c>
      <c r="J126" s="46">
        <v>2013</v>
      </c>
      <c r="K126" s="46">
        <v>2014</v>
      </c>
      <c r="L126" s="46">
        <v>2015</v>
      </c>
      <c r="M126" s="46">
        <v>2016</v>
      </c>
      <c r="N126" s="46">
        <v>2017</v>
      </c>
      <c r="O126" s="46">
        <v>2018</v>
      </c>
      <c r="P126" s="46">
        <v>2019</v>
      </c>
      <c r="Q126" s="10"/>
    </row>
    <row r="127" spans="2:17">
      <c r="B127" s="10"/>
      <c r="C127" s="10"/>
      <c r="D127" s="118" t="s">
        <v>2</v>
      </c>
      <c r="E127" s="119">
        <f>(E51/(E132/E84))</f>
        <v>3.7270685502245947E-3</v>
      </c>
      <c r="F127" s="119">
        <f>(F51/(F132/F84))</f>
        <v>5.052783944587514E-3</v>
      </c>
      <c r="G127" s="119">
        <f t="shared" ref="G127:L127" si="23">(G51/(G132/G84))</f>
        <v>4.5236668942826991E-3</v>
      </c>
      <c r="H127" s="119">
        <f t="shared" si="23"/>
        <v>3.9460784313725492E-3</v>
      </c>
      <c r="I127" s="119">
        <f t="shared" si="23"/>
        <v>5.069134559620078E-3</v>
      </c>
      <c r="J127" s="119">
        <f t="shared" si="23"/>
        <v>4.9791068028388428E-3</v>
      </c>
      <c r="K127" s="119">
        <f t="shared" si="23"/>
        <v>5.0110207862590793E-3</v>
      </c>
      <c r="L127" s="119">
        <f t="shared" si="23"/>
        <v>4.6605422576242502E-3</v>
      </c>
      <c r="M127" s="119">
        <f>(M51/(M132/M84))</f>
        <v>4.2791649836595308E-3</v>
      </c>
      <c r="N127" s="119">
        <f>(N51/(N132/N84))</f>
        <v>3.8742329448919624E-3</v>
      </c>
      <c r="O127" s="153">
        <f>(O51/(O132/O84))</f>
        <v>3.692129260069683E-3</v>
      </c>
      <c r="P127" s="153">
        <f>(P51/(P132/P84))</f>
        <v>3.6147937868237813E-3</v>
      </c>
      <c r="Q127" s="10"/>
    </row>
    <row r="128" spans="2:17">
      <c r="B128" s="10"/>
      <c r="C128" s="10"/>
      <c r="D128" s="118" t="s">
        <v>3</v>
      </c>
      <c r="E128" s="119">
        <f t="shared" ref="E128:L128" si="24">E52/(E133/E84)</f>
        <v>4.2095478437462665E-3</v>
      </c>
      <c r="F128" s="119">
        <f t="shared" si="24"/>
        <v>5.0378458865864249E-3</v>
      </c>
      <c r="G128" s="119">
        <f t="shared" si="24"/>
        <v>4.1285460867097135E-3</v>
      </c>
      <c r="H128" s="119">
        <f t="shared" si="24"/>
        <v>4.6333168316831687E-3</v>
      </c>
      <c r="I128" s="119">
        <f t="shared" si="24"/>
        <v>4.5077620488562717E-3</v>
      </c>
      <c r="J128" s="119">
        <f t="shared" si="24"/>
        <v>4.3900001813532577E-3</v>
      </c>
      <c r="K128" s="119">
        <f t="shared" si="24"/>
        <v>3.3852420518688674E-3</v>
      </c>
      <c r="L128" s="119">
        <f t="shared" si="24"/>
        <v>3.9777641617583116E-3</v>
      </c>
      <c r="M128" s="153">
        <f>M52/(M133/M84)</f>
        <v>4.3842007626507268E-3</v>
      </c>
      <c r="N128" s="153">
        <f>N52/(N133/N84)</f>
        <v>3.078156030586874E-3</v>
      </c>
      <c r="O128" s="119"/>
      <c r="P128" s="119"/>
      <c r="Q128" s="10"/>
    </row>
    <row r="129" spans="2:19">
      <c r="B129" s="10"/>
      <c r="C129" s="10"/>
      <c r="D129" s="98"/>
      <c r="E129" s="99"/>
      <c r="F129" s="99"/>
      <c r="G129" s="99"/>
      <c r="H129" s="99"/>
      <c r="I129" s="99"/>
      <c r="J129" s="99"/>
      <c r="K129" s="106"/>
      <c r="L129" s="106"/>
      <c r="M129" s="99"/>
      <c r="N129" s="99"/>
      <c r="O129" s="99"/>
      <c r="P129" s="99"/>
      <c r="Q129" s="10"/>
    </row>
    <row r="130" spans="2:19">
      <c r="B130" s="10"/>
      <c r="C130" s="10"/>
      <c r="D130" s="1" t="s">
        <v>27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9">
      <c r="B131" s="10"/>
      <c r="C131" s="10"/>
      <c r="D131" s="108" t="s">
        <v>1</v>
      </c>
      <c r="E131" s="21">
        <v>2008</v>
      </c>
      <c r="F131" s="21">
        <v>2009</v>
      </c>
      <c r="G131" s="21">
        <v>2010</v>
      </c>
      <c r="H131" s="21">
        <v>2011</v>
      </c>
      <c r="I131" s="21">
        <v>2012</v>
      </c>
      <c r="J131" s="21">
        <v>2013</v>
      </c>
      <c r="K131" s="21">
        <v>2014</v>
      </c>
      <c r="L131" s="21">
        <v>2015</v>
      </c>
      <c r="M131" s="21">
        <v>2016</v>
      </c>
      <c r="N131" s="21">
        <v>2017</v>
      </c>
      <c r="O131" s="21">
        <v>2018</v>
      </c>
      <c r="P131" s="21">
        <v>2019</v>
      </c>
      <c r="Q131" s="10"/>
    </row>
    <row r="132" spans="2:19">
      <c r="B132" s="10"/>
      <c r="C132" s="10"/>
      <c r="D132" s="108" t="s">
        <v>2</v>
      </c>
      <c r="E132" s="120">
        <f>(6999400/1000)-E139</f>
        <v>6144.4</v>
      </c>
      <c r="F132" s="120">
        <f>6676700/1000-F139</f>
        <v>5630.5</v>
      </c>
      <c r="G132" s="120">
        <f>7489700/1000-G139</f>
        <v>6443.6</v>
      </c>
      <c r="H132" s="120">
        <f>9328200/1000-H139</f>
        <v>8037.6</v>
      </c>
      <c r="I132" s="120">
        <f>10560300/1000-I139</f>
        <v>9138.6999999999989</v>
      </c>
      <c r="J132" s="120">
        <f>13030800/1000-J139</f>
        <v>11554</v>
      </c>
      <c r="K132" s="120">
        <f>15294500/1000-K139</f>
        <v>11550.9</v>
      </c>
      <c r="L132" s="120">
        <f>16199100/1000-L139</f>
        <v>12529.1</v>
      </c>
      <c r="M132" s="120">
        <f>14762600000/1000000-M139</f>
        <v>10893.2</v>
      </c>
      <c r="N132" s="120">
        <f>13349500000/1000000-N139</f>
        <v>10005.799999999999</v>
      </c>
      <c r="O132" s="120">
        <f>O88-O139</f>
        <v>10648.3</v>
      </c>
      <c r="P132" s="120">
        <f>P88-P139</f>
        <v>13069</v>
      </c>
      <c r="Q132" s="10"/>
    </row>
    <row r="133" spans="2:19">
      <c r="B133" s="10"/>
      <c r="C133" s="10"/>
      <c r="D133" s="108" t="s">
        <v>3</v>
      </c>
      <c r="E133" s="120">
        <f>7551800/1000-E139</f>
        <v>6696.8</v>
      </c>
      <c r="F133" s="120">
        <f>6687500/1000-F139</f>
        <v>5641.3</v>
      </c>
      <c r="G133" s="120">
        <f>8092600/1000-G139</f>
        <v>7046.5</v>
      </c>
      <c r="H133" s="120">
        <f>9370600/1000-H139</f>
        <v>8080</v>
      </c>
      <c r="I133" s="120">
        <f>10046900/1000-I139</f>
        <v>8625.2999999999993</v>
      </c>
      <c r="J133" s="120">
        <f>12505000/1000-J139</f>
        <v>11028.2</v>
      </c>
      <c r="K133" s="120">
        <f>15453900/1000-K139</f>
        <v>11710.3</v>
      </c>
      <c r="L133" s="120">
        <f>13788800/1000-L139</f>
        <v>10118.799999999999</v>
      </c>
      <c r="M133" s="142">
        <f>13572.4-M139</f>
        <v>9703</v>
      </c>
      <c r="N133" s="142">
        <f>N89-N139</f>
        <v>12789.8</v>
      </c>
      <c r="O133" s="120"/>
      <c r="P133" s="120"/>
      <c r="Q133" s="84"/>
    </row>
    <row r="134" spans="2:19">
      <c r="B134" s="10"/>
      <c r="C134" s="10"/>
      <c r="D134" s="98"/>
      <c r="E134" s="45"/>
      <c r="F134" s="45"/>
      <c r="G134" s="45"/>
      <c r="H134" s="45"/>
      <c r="I134" s="45"/>
      <c r="J134" s="45"/>
      <c r="K134" s="45"/>
      <c r="L134" s="45"/>
      <c r="M134" s="121"/>
      <c r="N134" s="98"/>
      <c r="O134" s="98"/>
      <c r="P134" s="98"/>
      <c r="Q134" s="10"/>
    </row>
    <row r="135" spans="2:19">
      <c r="B135" s="10"/>
      <c r="C135" s="10"/>
      <c r="D135" s="3" t="s">
        <v>45</v>
      </c>
      <c r="E135" s="44"/>
      <c r="F135" s="99"/>
      <c r="G135" s="99"/>
      <c r="H135" s="99"/>
      <c r="I135" s="99"/>
      <c r="J135" s="99"/>
      <c r="K135" s="106"/>
      <c r="L135" s="106"/>
      <c r="M135" s="99"/>
      <c r="N135" s="99"/>
      <c r="O135" s="44" t="s">
        <v>2</v>
      </c>
      <c r="P135" s="44" t="s">
        <v>2</v>
      </c>
      <c r="Q135" s="10"/>
    </row>
    <row r="136" spans="2:19">
      <c r="B136" s="10"/>
      <c r="C136" s="10"/>
      <c r="D136" s="122"/>
      <c r="E136" s="122">
        <v>2008</v>
      </c>
      <c r="F136" s="122">
        <v>2009</v>
      </c>
      <c r="G136" s="122">
        <v>2010</v>
      </c>
      <c r="H136" s="122">
        <v>2011</v>
      </c>
      <c r="I136" s="122">
        <v>2012</v>
      </c>
      <c r="J136" s="122">
        <v>2013</v>
      </c>
      <c r="K136" s="122">
        <v>2014</v>
      </c>
      <c r="L136" s="122">
        <v>2015</v>
      </c>
      <c r="M136" s="122">
        <v>2016</v>
      </c>
      <c r="N136" s="122">
        <v>2017</v>
      </c>
      <c r="O136" s="122">
        <v>2018</v>
      </c>
      <c r="P136" s="122">
        <v>2019</v>
      </c>
      <c r="Q136" s="10"/>
    </row>
    <row r="137" spans="2:19">
      <c r="B137" s="10"/>
      <c r="C137" s="10"/>
      <c r="D137" s="122" t="s">
        <v>28</v>
      </c>
      <c r="E137" s="144">
        <v>802.7</v>
      </c>
      <c r="F137" s="144">
        <v>985.6</v>
      </c>
      <c r="G137" s="144">
        <v>982.9</v>
      </c>
      <c r="H137" s="144">
        <v>1228.0999999999999</v>
      </c>
      <c r="I137" s="143">
        <v>1346.4</v>
      </c>
      <c r="J137" s="143">
        <v>1396.6</v>
      </c>
      <c r="K137" s="143">
        <v>3512.8</v>
      </c>
      <c r="L137" s="143">
        <v>3437.7</v>
      </c>
      <c r="M137" s="123">
        <v>3658.4</v>
      </c>
      <c r="N137" s="143">
        <v>3178.5</v>
      </c>
      <c r="O137" s="155">
        <v>3856.4</v>
      </c>
      <c r="P137" s="155">
        <v>2870.7</v>
      </c>
      <c r="Q137" t="s">
        <v>79</v>
      </c>
    </row>
    <row r="138" spans="2:19">
      <c r="B138" s="10"/>
      <c r="C138" s="10"/>
      <c r="D138" s="122" t="s">
        <v>29</v>
      </c>
      <c r="E138" s="144">
        <v>52.3</v>
      </c>
      <c r="F138" s="144">
        <v>60.6</v>
      </c>
      <c r="G138" s="144">
        <v>63.2</v>
      </c>
      <c r="H138" s="144">
        <v>62.5</v>
      </c>
      <c r="I138" s="143">
        <v>75.2</v>
      </c>
      <c r="J138" s="143">
        <v>80.2</v>
      </c>
      <c r="K138" s="143">
        <v>230.8</v>
      </c>
      <c r="L138" s="143">
        <v>232.3</v>
      </c>
      <c r="M138" s="143">
        <v>211</v>
      </c>
      <c r="N138" s="143">
        <v>165.2</v>
      </c>
      <c r="O138" s="143">
        <v>213.2</v>
      </c>
      <c r="P138" s="143">
        <v>193.8</v>
      </c>
      <c r="Q138" s="124" t="s">
        <v>17</v>
      </c>
    </row>
    <row r="139" spans="2:19">
      <c r="B139" s="10"/>
      <c r="C139" s="10"/>
      <c r="D139" s="122" t="s">
        <v>16</v>
      </c>
      <c r="E139" s="123">
        <f>SUM(E137:E138)</f>
        <v>855</v>
      </c>
      <c r="F139" s="123">
        <f>SUM(F137:F138)</f>
        <v>1046.2</v>
      </c>
      <c r="G139" s="123">
        <f t="shared" ref="G139:M139" si="25">G137+G138</f>
        <v>1046.0999999999999</v>
      </c>
      <c r="H139" s="123">
        <f t="shared" si="25"/>
        <v>1290.5999999999999</v>
      </c>
      <c r="I139" s="123">
        <f t="shared" si="25"/>
        <v>1421.6000000000001</v>
      </c>
      <c r="J139" s="123">
        <f t="shared" si="25"/>
        <v>1476.8</v>
      </c>
      <c r="K139" s="125">
        <f t="shared" si="25"/>
        <v>3743.6000000000004</v>
      </c>
      <c r="L139" s="125">
        <f t="shared" si="25"/>
        <v>3670</v>
      </c>
      <c r="M139" s="123">
        <f t="shared" si="25"/>
        <v>3869.4</v>
      </c>
      <c r="N139" s="123">
        <f>N137+N138</f>
        <v>3343.7</v>
      </c>
      <c r="O139" s="123">
        <f>SUM(O137:O138)</f>
        <v>4069.6</v>
      </c>
      <c r="P139" s="123">
        <f>SUM(P137:P138)</f>
        <v>3064.5</v>
      </c>
      <c r="Q139" s="10"/>
    </row>
    <row r="140" spans="2:19">
      <c r="D140" s="19"/>
      <c r="E140" s="23"/>
      <c r="F140" s="23"/>
      <c r="G140" s="23"/>
      <c r="H140" s="23"/>
      <c r="I140" s="23"/>
      <c r="J140" s="23"/>
      <c r="K140" s="42"/>
      <c r="L140" s="42"/>
      <c r="M140" s="23"/>
      <c r="N140" s="23"/>
      <c r="O140" s="23"/>
      <c r="P140" s="23"/>
      <c r="Q140" s="173"/>
    </row>
    <row r="141" spans="2:19">
      <c r="D141" s="19"/>
      <c r="E141" s="23"/>
      <c r="F141" s="23"/>
      <c r="G141" s="23"/>
      <c r="H141" s="23"/>
      <c r="I141" s="23"/>
      <c r="J141" s="23"/>
      <c r="K141" s="42"/>
      <c r="L141" s="42"/>
      <c r="M141" s="23"/>
      <c r="N141" s="23"/>
      <c r="O141" s="23"/>
      <c r="P141" s="23"/>
    </row>
    <row r="142" spans="2:19">
      <c r="D142" s="175" t="s">
        <v>64</v>
      </c>
      <c r="E142" s="10" t="s">
        <v>52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9">
      <c r="D143" s="159"/>
      <c r="E143" s="160">
        <v>2008</v>
      </c>
      <c r="F143" s="160">
        <v>2009</v>
      </c>
      <c r="G143" s="160">
        <v>2010</v>
      </c>
      <c r="H143" s="160">
        <v>2011</v>
      </c>
      <c r="I143" s="160">
        <v>2012</v>
      </c>
      <c r="J143" s="160">
        <v>2013</v>
      </c>
      <c r="K143" s="160">
        <v>2014</v>
      </c>
      <c r="L143" s="160">
        <v>2015</v>
      </c>
      <c r="M143" s="160">
        <v>2016</v>
      </c>
      <c r="N143" s="160">
        <v>2017</v>
      </c>
      <c r="O143" s="160">
        <v>2018</v>
      </c>
      <c r="P143" s="160">
        <v>2019</v>
      </c>
    </row>
    <row r="144" spans="2:19">
      <c r="D144" s="164" t="s">
        <v>2</v>
      </c>
      <c r="E144" s="161">
        <f t="shared" ref="E144:J144" si="26">(E21+E17+E13+E19+E10)/E84</f>
        <v>38.461052041785834</v>
      </c>
      <c r="F144" s="161">
        <f t="shared" si="26"/>
        <v>44.691007937601874</v>
      </c>
      <c r="G144" s="161">
        <f t="shared" si="26"/>
        <v>43.566118192661925</v>
      </c>
      <c r="H144" s="161">
        <f t="shared" si="26"/>
        <v>45.389100993808327</v>
      </c>
      <c r="I144" s="161">
        <f t="shared" si="26"/>
        <v>63.417173681215885</v>
      </c>
      <c r="J144" s="161">
        <f t="shared" si="26"/>
        <v>75.032205572642354</v>
      </c>
      <c r="K144" s="161">
        <f>(K21+K17+K13+K19+K10+K27)/K84</f>
        <v>71.702172611605022</v>
      </c>
      <c r="L144" s="161">
        <f>(L21+L17+L13+L19+L10+L27)/L84</f>
        <v>68.24023256915315</v>
      </c>
      <c r="M144" s="161">
        <f>(M21+M17+M13+M19+M10+M73)/M84</f>
        <v>51.464227217746767</v>
      </c>
      <c r="N144" s="161">
        <f>(N21+N17+N13+N19+N10+N27+N29)/N84</f>
        <v>43.538030575082246</v>
      </c>
      <c r="O144" s="161">
        <f>(O21+O17+O13+O19+O10+O27+O29)/O84</f>
        <v>42.014900000000004</v>
      </c>
      <c r="P144" s="161">
        <f>(P21+P17+P13+P19+P10+P27+P29)/P84</f>
        <v>47.563558636080622</v>
      </c>
      <c r="S144" s="235"/>
    </row>
    <row r="145" spans="1:16">
      <c r="D145" s="159" t="s">
        <v>3</v>
      </c>
      <c r="E145" s="161">
        <f t="shared" ref="E145:J145" si="27">E37+E42+E47+(E20/E84)</f>
        <v>47.345322287798723</v>
      </c>
      <c r="F145" s="161">
        <f t="shared" si="27"/>
        <v>44.644352860896433</v>
      </c>
      <c r="G145" s="161">
        <f t="shared" si="27"/>
        <v>43.481074532904799</v>
      </c>
      <c r="H145" s="161">
        <f t="shared" si="27"/>
        <v>53.575081241145156</v>
      </c>
      <c r="I145" s="161">
        <f t="shared" si="27"/>
        <v>53.226000618768111</v>
      </c>
      <c r="J145" s="161">
        <f t="shared" si="27"/>
        <v>63.144143854583511</v>
      </c>
      <c r="K145" s="161">
        <f>K37+K42+K47+K74+(K20/K84)</f>
        <v>49.107523731186113</v>
      </c>
      <c r="L145" s="161">
        <f>L37+L42+L47+L74+(L20/L84)</f>
        <v>47.03836473504991</v>
      </c>
      <c r="M145" s="161">
        <f>M37+M42+M47+M74+M79+(M20/M84)</f>
        <v>50.869236446416693</v>
      </c>
      <c r="N145" s="161">
        <f>N37+N42+N47+N74+N79+(N20/N84)</f>
        <v>44.172440437748044</v>
      </c>
      <c r="O145" s="161"/>
      <c r="P145" s="161"/>
    </row>
    <row r="146" spans="1:16">
      <c r="D146" s="19"/>
      <c r="E146" s="23"/>
      <c r="F146" s="23"/>
      <c r="G146" s="23"/>
      <c r="H146" s="23"/>
      <c r="I146" s="23"/>
      <c r="J146" s="23"/>
      <c r="K146" s="42"/>
      <c r="L146" s="42"/>
      <c r="M146" s="23"/>
      <c r="N146" s="23"/>
      <c r="O146" s="23"/>
      <c r="P146" s="23"/>
    </row>
    <row r="147" spans="1:16">
      <c r="D147" s="19"/>
      <c r="E147" s="23"/>
      <c r="F147" s="23"/>
      <c r="G147" s="23"/>
      <c r="H147" s="23"/>
      <c r="I147" s="23"/>
      <c r="J147" s="23"/>
      <c r="K147" s="42"/>
      <c r="L147" s="42"/>
      <c r="M147" s="23"/>
      <c r="N147" s="23"/>
      <c r="O147" s="23"/>
      <c r="P147" s="23"/>
    </row>
    <row r="148" spans="1:16">
      <c r="D148" s="19"/>
      <c r="E148" s="23"/>
      <c r="F148" s="23"/>
      <c r="G148" s="23"/>
      <c r="H148" s="23"/>
      <c r="I148" s="23"/>
      <c r="J148" s="23"/>
      <c r="K148" s="42"/>
      <c r="L148" s="42"/>
      <c r="M148" s="23"/>
      <c r="N148" s="23"/>
      <c r="O148" s="23"/>
      <c r="P148" s="23"/>
    </row>
    <row r="149" spans="1:16">
      <c r="A149" s="43" t="s">
        <v>15</v>
      </c>
      <c r="D149" s="19"/>
      <c r="E149" s="23"/>
      <c r="F149" s="23"/>
      <c r="G149" s="23"/>
      <c r="H149" s="23"/>
      <c r="I149" s="23"/>
      <c r="J149" s="23"/>
      <c r="K149" s="42"/>
      <c r="L149" s="42"/>
      <c r="M149" s="23"/>
      <c r="N149" s="23"/>
      <c r="O149" s="23"/>
      <c r="P149" s="23"/>
    </row>
    <row r="150" spans="1:16">
      <c r="D150" s="19"/>
      <c r="E150" s="23"/>
      <c r="F150" s="23"/>
      <c r="G150" s="23"/>
      <c r="H150" s="23"/>
      <c r="I150" s="23"/>
      <c r="J150" s="23"/>
      <c r="K150" s="42"/>
      <c r="L150" s="42"/>
      <c r="M150" s="23"/>
      <c r="N150" s="23"/>
      <c r="O150" s="23"/>
      <c r="P150" s="23"/>
    </row>
    <row r="151" spans="1:16">
      <c r="D151" s="40"/>
    </row>
    <row r="152" spans="1:16">
      <c r="D152" s="40"/>
    </row>
    <row r="153" spans="1:16">
      <c r="D153" s="40"/>
    </row>
    <row r="154" spans="1:16">
      <c r="D154" s="40"/>
    </row>
    <row r="155" spans="1:16">
      <c r="D155" s="40"/>
    </row>
    <row r="156" spans="1:16">
      <c r="D156" s="40"/>
    </row>
    <row r="157" spans="1:16">
      <c r="D157" s="40"/>
    </row>
    <row r="158" spans="1:16">
      <c r="D158" s="40"/>
    </row>
    <row r="159" spans="1:16">
      <c r="D159" s="40"/>
    </row>
    <row r="160" spans="1:16">
      <c r="D160" s="40"/>
    </row>
    <row r="161" spans="4:4">
      <c r="D161" s="40"/>
    </row>
    <row r="162" spans="4:4">
      <c r="D162" s="40"/>
    </row>
    <row r="163" spans="4:4">
      <c r="D163" s="40"/>
    </row>
    <row r="164" spans="4:4">
      <c r="D164" s="40"/>
    </row>
    <row r="165" spans="4:4">
      <c r="D165" s="40"/>
    </row>
    <row r="166" spans="4:4">
      <c r="D166" s="40"/>
    </row>
    <row r="167" spans="4:4">
      <c r="D167" s="40"/>
    </row>
    <row r="168" spans="4:4">
      <c r="D168" s="40"/>
    </row>
    <row r="192" spans="2:2">
      <c r="B192" s="232"/>
    </row>
    <row r="257" spans="4:4">
      <c r="D257" s="30"/>
    </row>
  </sheetData>
  <mergeCells count="6">
    <mergeCell ref="E7:G7"/>
    <mergeCell ref="Q10:Q11"/>
    <mergeCell ref="Q82:Q84"/>
    <mergeCell ref="Q25:Q26"/>
    <mergeCell ref="Q15:Q16"/>
    <mergeCell ref="Q29:Q31"/>
  </mergeCells>
  <hyperlinks>
    <hyperlink ref="Q138" r:id="rId1"/>
    <hyperlink ref="Q82" r:id="rId2"/>
    <hyperlink ref="Q20" r:id="rId3"/>
  </hyperlinks>
  <pageMargins left="0.25" right="0.25" top="0.75" bottom="0.75" header="0.3" footer="0.3"/>
  <pageSetup paperSize="8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Nemat Bizhan</dc:creator>
  <cp:lastModifiedBy>Grant Walton</cp:lastModifiedBy>
  <cp:revision/>
  <dcterms:created xsi:type="dcterms:W3CDTF">2016-10-19T01:43:52Z</dcterms:created>
  <dcterms:modified xsi:type="dcterms:W3CDTF">2018-12-10T01:13:03Z</dcterms:modified>
</cp:coreProperties>
</file>