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defaultThemeVersion="166925"/>
  <mc:AlternateContent xmlns:mc="http://schemas.openxmlformats.org/markup-compatibility/2006">
    <mc:Choice Requires="x15">
      <x15ac:absPath xmlns:x15ac="http://schemas.microsoft.com/office/spreadsheetml/2010/11/ac" url="C:\Users\sherman\Dropbox (Devpolicy)\Research\Pacific and PNG\Covid-19 Economic Response\"/>
    </mc:Choice>
  </mc:AlternateContent>
  <xr:revisionPtr revIDLastSave="0" documentId="13_ncr:1_{748FC67F-9744-4A36-B837-8E26F9A2D1D5}" xr6:coauthVersionLast="45" xr6:coauthVersionMax="45" xr10:uidLastSave="{00000000-0000-0000-0000-000000000000}"/>
  <bookViews>
    <workbookView xWindow="28680" yWindow="-120" windowWidth="29040" windowHeight="15840" tabRatio="776" xr2:uid="{00000000-000D-0000-FFFF-FFFF00000000}"/>
  </bookViews>
  <sheets>
    <sheet name="Introduction" sheetId="15" r:id="rId1"/>
    <sheet name="Definitions" sheetId="34" r:id="rId2"/>
    <sheet name="Overview" sheetId="4" r:id="rId3"/>
    <sheet name="Fiji" sheetId="5" r:id="rId4"/>
    <sheet name="PNG" sheetId="3" r:id="rId5"/>
    <sheet name="Samoa " sheetId="7" r:id="rId6"/>
    <sheet name="Solomon Islands" sheetId="8" r:id="rId7"/>
    <sheet name="Timor-Leste " sheetId="10" r:id="rId8"/>
    <sheet name="Tonga " sheetId="9" r:id="rId9"/>
    <sheet name="Vanuatu" sheetId="6" r:id="rId10"/>
    <sheet name="Budget 2020-21 data" sheetId="25" r:id="rId11"/>
    <sheet name="Budget 2020-21 workings" sheetId="26" r:id="rId12"/>
    <sheet name="Funding summary" sheetId="35" r:id="rId13"/>
    <sheet name="Expenditure,external assistance" sheetId="32" r:id="rId14"/>
    <sheet name="Revenue analysis" sheetId="17" r:id="rId15"/>
    <sheet name="Sectoral expenditure analysis" sheetId="24" r:id="rId16"/>
    <sheet name="Fiscal balance " sheetId="21" r:id="rId17"/>
    <sheet name="Real GDP growth" sheetId="23" r:id="rId18"/>
    <sheet name="GDP growth (pre &amp; post COVID)" sheetId="22" r:id="rId19"/>
    <sheet name="GDP per capita (const 2010 USD)" sheetId="19" r:id="rId20"/>
    <sheet name="Remittances" sheetId="20" r:id="rId21"/>
    <sheet name="Risk of external debt distress" sheetId="18" r:id="rId22"/>
    <sheet name="Commodity prices" sheetId="29" r:id="rId23"/>
    <sheet name="Tourism reliance analysis" sheetId="28" r:id="rId24"/>
    <sheet name="ODA as % of GNI" sheetId="30" r:id="rId25"/>
    <sheet name="Useful documents" sheetId="2" r:id="rId26"/>
  </sheets>
  <externalReferences>
    <externalReference r:id="rId27"/>
    <externalReference r:id="rId28"/>
    <externalReference r:id="rId29"/>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26" l="1"/>
  <c r="B38" i="26"/>
  <c r="B40" i="26" s="1"/>
  <c r="B37" i="26"/>
  <c r="B19" i="3" l="1"/>
  <c r="J8" i="25" l="1"/>
  <c r="I8" i="25"/>
  <c r="H8" i="25"/>
  <c r="C23" i="26" s="1"/>
  <c r="D23" i="26"/>
  <c r="E23" i="26"/>
  <c r="D26" i="4" l="1"/>
  <c r="J20" i="35" l="1"/>
  <c r="I20" i="35"/>
  <c r="E20" i="35"/>
  <c r="E28" i="35" s="1"/>
  <c r="B20" i="35"/>
  <c r="B28" i="35" s="1"/>
  <c r="C9" i="35"/>
  <c r="B9" i="35"/>
  <c r="G8" i="35"/>
  <c r="E8" i="35"/>
  <c r="E7" i="35"/>
  <c r="J4" i="35"/>
  <c r="I4" i="35"/>
  <c r="G4" i="35"/>
  <c r="E4" i="35"/>
  <c r="C4" i="35"/>
  <c r="B4" i="35"/>
  <c r="J3" i="35"/>
  <c r="J24" i="35" s="1"/>
  <c r="I3" i="35"/>
  <c r="I24" i="35" s="1"/>
  <c r="G3" i="35"/>
  <c r="G24" i="35" s="1"/>
  <c r="F3" i="35"/>
  <c r="E3" i="35"/>
  <c r="E24" i="35" s="1"/>
  <c r="C3" i="35"/>
  <c r="C24" i="35" s="1"/>
  <c r="B3" i="35"/>
  <c r="B24" i="35" s="1"/>
  <c r="F7" i="35"/>
  <c r="B26" i="35" l="1"/>
  <c r="B25" i="35"/>
  <c r="C10" i="35"/>
  <c r="I5" i="35"/>
  <c r="I11" i="35" s="1"/>
  <c r="I25" i="35"/>
  <c r="E30" i="35"/>
  <c r="E29" i="35"/>
  <c r="E31" i="35"/>
  <c r="E25" i="35"/>
  <c r="J25" i="35"/>
  <c r="J5" i="35"/>
  <c r="J28" i="35" l="1"/>
  <c r="J33" i="35" s="1"/>
  <c r="J11" i="35"/>
  <c r="C11" i="35"/>
  <c r="I28" i="35"/>
  <c r="I33" i="35" s="1"/>
  <c r="H37" i="4" l="1"/>
  <c r="I5" i="24" s="1"/>
  <c r="I7" i="24" l="1"/>
  <c r="I4" i="24"/>
  <c r="I8" i="24"/>
  <c r="E35" i="4" l="1"/>
  <c r="F4" i="35" s="1"/>
  <c r="A66" i="34"/>
  <c r="A67" i="34"/>
  <c r="A68" i="34"/>
  <c r="A62" i="34"/>
  <c r="A63" i="34"/>
  <c r="A64" i="34"/>
  <c r="A65" i="34"/>
  <c r="A58" i="34"/>
  <c r="A59" i="34"/>
  <c r="A60" i="34"/>
  <c r="A61" i="34"/>
  <c r="A48" i="34"/>
  <c r="A49" i="34"/>
  <c r="A50" i="34"/>
  <c r="A51" i="34"/>
  <c r="A52" i="34"/>
  <c r="A53" i="34"/>
  <c r="A54" i="34"/>
  <c r="A55" i="34"/>
  <c r="A56" i="34"/>
  <c r="A57" i="34"/>
  <c r="A2" i="34"/>
  <c r="A3" i="34"/>
  <c r="A4" i="34"/>
  <c r="A5" i="34"/>
  <c r="A6" i="34"/>
  <c r="A7" i="34"/>
  <c r="A8" i="34"/>
  <c r="A9" i="34"/>
  <c r="A10" i="34"/>
  <c r="A11" i="34"/>
  <c r="A12" i="34"/>
  <c r="A13" i="34"/>
  <c r="A14" i="34"/>
  <c r="A15" i="34"/>
  <c r="A16" i="34"/>
  <c r="A17" i="34"/>
  <c r="A18" i="34"/>
  <c r="A19" i="34"/>
  <c r="A20" i="34"/>
  <c r="A21" i="34"/>
  <c r="A22" i="34"/>
  <c r="A23" i="34"/>
  <c r="A24" i="34"/>
  <c r="A25" i="34"/>
  <c r="A26" i="34"/>
  <c r="A27" i="34"/>
  <c r="A28" i="34"/>
  <c r="A29" i="34"/>
  <c r="A30" i="34"/>
  <c r="A31" i="34"/>
  <c r="A32" i="34"/>
  <c r="A33" i="34"/>
  <c r="A34" i="34"/>
  <c r="A35" i="34"/>
  <c r="A36" i="34"/>
  <c r="A37" i="34"/>
  <c r="A38" i="34"/>
  <c r="A39" i="34"/>
  <c r="A40" i="34"/>
  <c r="A41" i="34"/>
  <c r="A42" i="34"/>
  <c r="A43" i="34"/>
  <c r="A44" i="34"/>
  <c r="A45" i="34"/>
  <c r="A46" i="34"/>
  <c r="A47" i="34"/>
  <c r="A1" i="34"/>
  <c r="E37" i="4" l="1"/>
  <c r="I38" i="32"/>
  <c r="I37" i="32"/>
  <c r="K38" i="32"/>
  <c r="K37" i="32"/>
  <c r="B334" i="20" l="1"/>
  <c r="B333" i="20"/>
  <c r="B332" i="20"/>
  <c r="B331" i="20"/>
  <c r="B330" i="20"/>
  <c r="B329" i="20"/>
  <c r="B328" i="20"/>
  <c r="B327" i="20"/>
  <c r="B326" i="20"/>
  <c r="B325" i="20"/>
  <c r="B324" i="20"/>
  <c r="B323" i="20"/>
  <c r="B322" i="20"/>
  <c r="B321" i="20"/>
  <c r="B320" i="20"/>
  <c r="B319" i="20"/>
  <c r="B318" i="20"/>
  <c r="B317" i="20"/>
  <c r="B316" i="20"/>
  <c r="B315" i="20"/>
  <c r="B314" i="20"/>
  <c r="B313" i="20"/>
  <c r="B312" i="20"/>
  <c r="B311" i="20"/>
  <c r="B310" i="20"/>
  <c r="B309" i="20"/>
  <c r="B308" i="20"/>
  <c r="B307" i="20"/>
  <c r="B306" i="20"/>
  <c r="B305" i="20"/>
  <c r="B304" i="20"/>
  <c r="B303" i="20"/>
  <c r="B302" i="20"/>
  <c r="B301" i="20"/>
  <c r="B300" i="20"/>
  <c r="B299" i="20"/>
  <c r="B298" i="20"/>
  <c r="B297" i="20"/>
  <c r="B296" i="20"/>
  <c r="B295" i="20"/>
  <c r="B294" i="20"/>
  <c r="B293" i="20"/>
  <c r="B292" i="20"/>
  <c r="B291" i="20"/>
  <c r="B290" i="20"/>
  <c r="B289" i="20"/>
  <c r="B288" i="20"/>
  <c r="B287" i="20"/>
  <c r="B286" i="20"/>
  <c r="B285" i="20"/>
  <c r="B284" i="20"/>
  <c r="B283" i="20"/>
  <c r="B282" i="20"/>
  <c r="B281" i="20"/>
  <c r="B280" i="20"/>
  <c r="B279" i="20"/>
  <c r="B278" i="20"/>
  <c r="B277" i="20"/>
  <c r="B276" i="20"/>
  <c r="B275" i="20"/>
  <c r="B274" i="20"/>
  <c r="B273" i="20"/>
  <c r="B272" i="20"/>
  <c r="B271" i="20"/>
  <c r="B270" i="20"/>
  <c r="B269" i="20"/>
  <c r="B268" i="20"/>
  <c r="B267" i="20"/>
  <c r="B266" i="20"/>
  <c r="B265" i="20"/>
  <c r="B264" i="20"/>
  <c r="B263" i="20"/>
  <c r="B262" i="20"/>
  <c r="B261" i="20"/>
  <c r="B260" i="20"/>
  <c r="B259" i="20"/>
  <c r="B258" i="20"/>
  <c r="B257" i="20"/>
  <c r="B256" i="20"/>
  <c r="B255" i="20"/>
  <c r="B254" i="20"/>
  <c r="B253" i="20"/>
  <c r="B252" i="20"/>
  <c r="B251" i="20"/>
  <c r="B250" i="20"/>
  <c r="B249" i="20"/>
  <c r="B248" i="20"/>
  <c r="B247" i="20"/>
  <c r="B246" i="20"/>
  <c r="B245" i="20"/>
  <c r="B244" i="20"/>
  <c r="B243" i="20"/>
  <c r="B242" i="20"/>
  <c r="B241" i="20"/>
  <c r="B240" i="20"/>
  <c r="B239" i="20"/>
  <c r="B238" i="20"/>
  <c r="B237" i="20"/>
  <c r="B236" i="20"/>
  <c r="B235" i="20"/>
  <c r="B234" i="20"/>
  <c r="B233" i="20"/>
  <c r="B232" i="20"/>
  <c r="B231" i="20"/>
  <c r="B230" i="20"/>
  <c r="B229" i="20"/>
  <c r="B228" i="20"/>
  <c r="B227" i="20"/>
  <c r="B226" i="20"/>
  <c r="B225" i="20"/>
  <c r="B224" i="20"/>
  <c r="B223" i="20"/>
  <c r="B222" i="20"/>
  <c r="B221" i="20"/>
  <c r="B220" i="20"/>
  <c r="B219" i="20"/>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5" i="20"/>
  <c r="B154"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B130" i="20"/>
  <c r="B129" i="20"/>
  <c r="B128" i="20"/>
  <c r="B127" i="20"/>
  <c r="B126" i="20"/>
  <c r="B125" i="20"/>
  <c r="B124" i="20"/>
  <c r="B123" i="20"/>
  <c r="B122" i="20"/>
  <c r="B121" i="20"/>
  <c r="B120" i="20"/>
  <c r="B119" i="20"/>
  <c r="B118" i="20"/>
  <c r="B117" i="20"/>
  <c r="B116" i="20"/>
  <c r="B115" i="20"/>
  <c r="B114" i="20"/>
  <c r="B113" i="20"/>
  <c r="B112" i="20"/>
  <c r="B111"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B82" i="20"/>
  <c r="B81" i="20"/>
  <c r="B80" i="20"/>
  <c r="B79" i="20"/>
  <c r="B78" i="20"/>
  <c r="B77" i="20"/>
  <c r="B76" i="20"/>
  <c r="B75" i="20"/>
  <c r="B74" i="20"/>
  <c r="B73" i="20"/>
  <c r="B72" i="20"/>
  <c r="B71" i="20"/>
  <c r="B70" i="20"/>
  <c r="B69" i="20"/>
  <c r="B68" i="20"/>
  <c r="B67" i="20"/>
  <c r="B66" i="20"/>
  <c r="B65" i="20"/>
  <c r="B64" i="20"/>
  <c r="B63" i="20"/>
  <c r="B62" i="20"/>
  <c r="B61" i="20"/>
  <c r="B60" i="20"/>
  <c r="B59" i="20"/>
  <c r="B58" i="20"/>
  <c r="B57" i="20"/>
  <c r="B56" i="20"/>
  <c r="B55" i="20"/>
  <c r="B54" i="20"/>
  <c r="B53" i="20"/>
  <c r="B52" i="20"/>
  <c r="B51" i="20"/>
  <c r="B50" i="20"/>
  <c r="B49" i="20"/>
  <c r="B48" i="20"/>
  <c r="B47" i="20"/>
  <c r="B46" i="20"/>
  <c r="B45" i="20"/>
  <c r="B44" i="20"/>
  <c r="B43" i="20"/>
  <c r="B42" i="20"/>
  <c r="B41" i="20"/>
  <c r="B40" i="20"/>
  <c r="B39" i="20"/>
  <c r="B38" i="20"/>
  <c r="B37" i="20"/>
  <c r="B36" i="20"/>
  <c r="B35" i="20"/>
  <c r="B34" i="20"/>
  <c r="B33" i="20"/>
  <c r="B32" i="20"/>
  <c r="B31" i="20"/>
  <c r="B30" i="20"/>
  <c r="B29" i="20"/>
  <c r="B28" i="20"/>
  <c r="B27" i="20"/>
  <c r="B26" i="20"/>
  <c r="B25" i="20"/>
  <c r="B24" i="20"/>
  <c r="B23" i="20"/>
  <c r="B22" i="20"/>
  <c r="B21" i="20"/>
  <c r="B20" i="20"/>
  <c r="B19" i="20"/>
  <c r="B18" i="20"/>
  <c r="B17" i="20"/>
  <c r="A17" i="20"/>
  <c r="A29" i="20" s="1"/>
  <c r="A41" i="20" s="1"/>
  <c r="A53" i="20" s="1"/>
  <c r="A65" i="20" s="1"/>
  <c r="A77" i="20" s="1"/>
  <c r="A89" i="20" s="1"/>
  <c r="A101" i="20" s="1"/>
  <c r="A113" i="20" s="1"/>
  <c r="A125" i="20" s="1"/>
  <c r="A137" i="20" s="1"/>
  <c r="A149" i="20" s="1"/>
  <c r="A161" i="20" s="1"/>
  <c r="A173" i="20" s="1"/>
  <c r="A185" i="20" s="1"/>
  <c r="A197" i="20" s="1"/>
  <c r="A209" i="20" s="1"/>
  <c r="A221" i="20" s="1"/>
  <c r="A233" i="20" s="1"/>
  <c r="A245" i="20" s="1"/>
  <c r="A257" i="20" s="1"/>
  <c r="A269" i="20" s="1"/>
  <c r="A281" i="20" s="1"/>
  <c r="A293" i="20" s="1"/>
  <c r="A305" i="20" s="1"/>
  <c r="A317" i="20" s="1"/>
  <c r="A329" i="20" s="1"/>
  <c r="B16" i="20"/>
  <c r="B15" i="20"/>
  <c r="B14" i="20"/>
  <c r="B13" i="20"/>
  <c r="B12" i="20"/>
  <c r="B11" i="20"/>
  <c r="B10" i="20"/>
  <c r="B9" i="20"/>
  <c r="B8" i="20"/>
  <c r="B7" i="20"/>
  <c r="B6" i="20"/>
  <c r="B5" i="20"/>
  <c r="N15" i="22" l="1"/>
  <c r="G27" i="29" l="1"/>
  <c r="G26" i="29"/>
  <c r="F26" i="29"/>
  <c r="E26" i="29"/>
  <c r="D26" i="29"/>
  <c r="C26" i="29"/>
  <c r="B26" i="29"/>
  <c r="G25" i="29"/>
  <c r="F25" i="29"/>
  <c r="E25" i="29"/>
  <c r="D25" i="29"/>
  <c r="C25" i="29"/>
  <c r="B25" i="29"/>
  <c r="G24" i="29"/>
  <c r="F24" i="29"/>
  <c r="E24" i="29"/>
  <c r="D24" i="29"/>
  <c r="C24" i="29"/>
  <c r="B24" i="29"/>
  <c r="G23" i="29"/>
  <c r="F23" i="29"/>
  <c r="E23" i="29"/>
  <c r="D23" i="29"/>
  <c r="C23" i="29"/>
  <c r="B23" i="29"/>
  <c r="G22" i="29"/>
  <c r="F22" i="29"/>
  <c r="E22" i="29"/>
  <c r="D22" i="29"/>
  <c r="C22" i="29"/>
  <c r="B22" i="29"/>
  <c r="G21" i="29"/>
  <c r="F21" i="29"/>
  <c r="E21" i="29"/>
  <c r="D21" i="29"/>
  <c r="C21" i="29"/>
  <c r="B21" i="29"/>
  <c r="A17" i="29"/>
  <c r="A16" i="29"/>
  <c r="A15" i="29"/>
  <c r="A14" i="29"/>
  <c r="A13" i="29"/>
  <c r="A12" i="29"/>
  <c r="A11" i="29"/>
  <c r="A10" i="29"/>
  <c r="A9" i="29"/>
  <c r="A8" i="29"/>
  <c r="A7" i="29"/>
  <c r="A6" i="29"/>
  <c r="A5" i="29"/>
  <c r="F4" i="29"/>
  <c r="E4" i="29"/>
  <c r="C4" i="29"/>
  <c r="B4" i="29"/>
  <c r="F3" i="29"/>
  <c r="E3" i="29"/>
  <c r="D3" i="29"/>
  <c r="C3" i="29"/>
  <c r="B3" i="29"/>
  <c r="A1" i="30"/>
  <c r="D8" i="28" l="1"/>
  <c r="D7" i="28"/>
  <c r="D12" i="28"/>
  <c r="D10" i="28"/>
  <c r="D14" i="28"/>
  <c r="D11" i="28"/>
  <c r="D6" i="28"/>
  <c r="D9" i="28"/>
  <c r="D16" i="28"/>
  <c r="D13" i="28"/>
  <c r="D15" i="28"/>
  <c r="F33" i="28" l="1"/>
  <c r="F32" i="28"/>
  <c r="G26" i="28"/>
  <c r="G35" i="28" s="1"/>
  <c r="C24" i="28"/>
  <c r="C25" i="28" s="1"/>
  <c r="C26" i="28" s="1"/>
  <c r="C27" i="28" s="1"/>
  <c r="C28" i="28" s="1"/>
  <c r="C29" i="28" s="1"/>
  <c r="C30" i="28" s="1"/>
  <c r="C31" i="28" s="1"/>
  <c r="C32" i="28" s="1"/>
  <c r="C33" i="28" s="1"/>
  <c r="C34" i="28" s="1"/>
  <c r="C35" i="28" l="1"/>
  <c r="E29" i="26"/>
  <c r="D29" i="26"/>
  <c r="C29" i="26"/>
  <c r="D28" i="26"/>
  <c r="E28" i="26"/>
  <c r="C28" i="26"/>
  <c r="D27" i="26"/>
  <c r="E27" i="26"/>
  <c r="C27" i="26"/>
  <c r="D12" i="26"/>
  <c r="E12" i="26"/>
  <c r="C12" i="26"/>
  <c r="D11" i="26"/>
  <c r="E11" i="26"/>
  <c r="C11" i="26"/>
  <c r="E10" i="26"/>
  <c r="D10" i="26"/>
  <c r="C10" i="26"/>
  <c r="K5" i="26"/>
  <c r="K6" i="26"/>
  <c r="K4" i="26"/>
  <c r="L2" i="26"/>
  <c r="L4" i="26" s="1"/>
  <c r="G4" i="26"/>
  <c r="G5" i="26"/>
  <c r="H2" i="26"/>
  <c r="H5" i="26" s="1"/>
  <c r="D2" i="26"/>
  <c r="E2" i="26" s="1"/>
  <c r="C4" i="26"/>
  <c r="C5" i="26"/>
  <c r="B25" i="26"/>
  <c r="B29" i="26" s="1"/>
  <c r="B33" i="26" s="1"/>
  <c r="B24" i="26"/>
  <c r="B28" i="26" s="1"/>
  <c r="B32" i="26" s="1"/>
  <c r="B23" i="26"/>
  <c r="B27" i="26" s="1"/>
  <c r="B31" i="26" s="1"/>
  <c r="E14" i="26"/>
  <c r="E18" i="26" s="1"/>
  <c r="E22" i="26" s="1"/>
  <c r="E26" i="26" s="1"/>
  <c r="E30" i="26" s="1"/>
  <c r="D14" i="26"/>
  <c r="D18" i="26" s="1"/>
  <c r="D22" i="26" s="1"/>
  <c r="D26" i="26" s="1"/>
  <c r="D30" i="26" s="1"/>
  <c r="C14" i="26"/>
  <c r="C18" i="26" s="1"/>
  <c r="C22" i="26" s="1"/>
  <c r="C26" i="26" s="1"/>
  <c r="C30" i="26" s="1"/>
  <c r="C33" i="26"/>
  <c r="B6" i="26"/>
  <c r="B5" i="26"/>
  <c r="B4" i="26"/>
  <c r="B3" i="26"/>
  <c r="M71" i="25"/>
  <c r="E7" i="25"/>
  <c r="E8" i="25" s="1"/>
  <c r="E25" i="26" s="1"/>
  <c r="D7" i="25"/>
  <c r="D8" i="25" s="1"/>
  <c r="D25" i="26" s="1"/>
  <c r="C7" i="25"/>
  <c r="C8" i="25" s="1"/>
  <c r="C25" i="26" s="1"/>
  <c r="O6" i="25"/>
  <c r="O7" i="25" s="1"/>
  <c r="O8" i="25" s="1"/>
  <c r="E24" i="26" s="1"/>
  <c r="N6" i="25"/>
  <c r="N7" i="25" s="1"/>
  <c r="N8" i="25" s="1"/>
  <c r="D24" i="26" s="1"/>
  <c r="M6" i="25"/>
  <c r="G6" i="26" s="1"/>
  <c r="C32" i="26" s="1"/>
  <c r="J6" i="25"/>
  <c r="J7" i="25" s="1"/>
  <c r="I6" i="25"/>
  <c r="I7" i="25" s="1"/>
  <c r="H6" i="25"/>
  <c r="H7" i="25" s="1"/>
  <c r="W4" i="25"/>
  <c r="M3" i="25"/>
  <c r="G3" i="26" s="1"/>
  <c r="C16" i="26" s="1"/>
  <c r="J3" i="25"/>
  <c r="I3" i="25"/>
  <c r="H3" i="25"/>
  <c r="C3" i="26" s="1"/>
  <c r="E3" i="25"/>
  <c r="D3" i="25"/>
  <c r="L3" i="26" s="1"/>
  <c r="C3" i="25"/>
  <c r="K3" i="26" s="1"/>
  <c r="C17" i="26" s="1"/>
  <c r="M2" i="26" l="1"/>
  <c r="M4" i="26" s="1"/>
  <c r="L6" i="26"/>
  <c r="D33" i="26" s="1"/>
  <c r="C19" i="26"/>
  <c r="H4" i="26"/>
  <c r="D20" i="26" s="1"/>
  <c r="C21" i="26"/>
  <c r="D6" i="26"/>
  <c r="H6" i="26"/>
  <c r="D32" i="26" s="1"/>
  <c r="L5" i="26"/>
  <c r="L7" i="26" s="1"/>
  <c r="M5" i="26"/>
  <c r="I2" i="26"/>
  <c r="I6" i="26" s="1"/>
  <c r="J6" i="26" s="1"/>
  <c r="H3" i="26"/>
  <c r="D16" i="26" s="1"/>
  <c r="M7" i="25"/>
  <c r="M8" i="25" s="1"/>
  <c r="C24" i="26" s="1"/>
  <c r="C6" i="26"/>
  <c r="C31" i="26" s="1"/>
  <c r="C20" i="26"/>
  <c r="E6" i="26"/>
  <c r="E4" i="26"/>
  <c r="E5" i="26"/>
  <c r="E3" i="26"/>
  <c r="D3" i="26"/>
  <c r="D15" i="26" s="1"/>
  <c r="D5" i="26"/>
  <c r="D4" i="26"/>
  <c r="D19" i="26" s="1"/>
  <c r="C15" i="26"/>
  <c r="D21" i="26"/>
  <c r="D17" i="26"/>
  <c r="M7" i="26" l="1"/>
  <c r="M6" i="26"/>
  <c r="M3" i="26"/>
  <c r="D31" i="26"/>
  <c r="I5" i="26"/>
  <c r="J5" i="26" s="1"/>
  <c r="I3" i="26"/>
  <c r="E16" i="26" s="1"/>
  <c r="I4" i="26"/>
  <c r="E20" i="26" s="1"/>
  <c r="E32" i="26"/>
  <c r="N5" i="26"/>
  <c r="F5" i="26"/>
  <c r="I16" i="24"/>
  <c r="H16" i="24"/>
  <c r="G16" i="24"/>
  <c r="F16" i="24"/>
  <c r="E16" i="24"/>
  <c r="D16" i="24"/>
  <c r="B22" i="24"/>
  <c r="B21" i="24"/>
  <c r="B20" i="24"/>
  <c r="B19" i="24"/>
  <c r="B18" i="24"/>
  <c r="C16" i="24"/>
  <c r="B17" i="24"/>
  <c r="J3" i="26" l="1"/>
  <c r="J4" i="26"/>
  <c r="N4" i="26"/>
  <c r="E21" i="26"/>
  <c r="F4" i="26"/>
  <c r="E19" i="26"/>
  <c r="E33" i="26"/>
  <c r="N6" i="26"/>
  <c r="E31" i="26"/>
  <c r="F6" i="26"/>
  <c r="F3" i="26"/>
  <c r="E15" i="26"/>
  <c r="E17" i="26"/>
  <c r="N3" i="26"/>
  <c r="C47" i="4"/>
  <c r="B62" i="6"/>
  <c r="G16" i="4" l="1"/>
  <c r="G20" i="35" s="1"/>
  <c r="G26" i="35" l="1"/>
  <c r="G28" i="35"/>
  <c r="G25" i="35"/>
  <c r="G31" i="35"/>
  <c r="B32" i="6"/>
  <c r="B32" i="9"/>
  <c r="B32" i="10"/>
  <c r="B32" i="8"/>
  <c r="B32" i="7"/>
  <c r="B32" i="3"/>
  <c r="B32" i="5"/>
  <c r="G3" i="23"/>
  <c r="G4" i="23"/>
  <c r="G5" i="23"/>
  <c r="G2" i="23"/>
  <c r="H55" i="23"/>
  <c r="G54" i="23"/>
  <c r="F54" i="23"/>
  <c r="E54" i="23"/>
  <c r="D54" i="23"/>
  <c r="C54" i="23"/>
  <c r="B54" i="23"/>
  <c r="G53" i="23"/>
  <c r="F53" i="23"/>
  <c r="E53" i="23"/>
  <c r="D53" i="23"/>
  <c r="C53" i="23"/>
  <c r="B53" i="23"/>
  <c r="G52" i="23"/>
  <c r="F52" i="23"/>
  <c r="E52" i="23"/>
  <c r="D52" i="23"/>
  <c r="C52" i="23"/>
  <c r="B52" i="23"/>
  <c r="F51" i="23"/>
  <c r="E51" i="23"/>
  <c r="D51" i="23"/>
  <c r="C51" i="23"/>
  <c r="B51" i="23"/>
  <c r="G50" i="23"/>
  <c r="F50" i="23"/>
  <c r="E50" i="23"/>
  <c r="D50" i="23"/>
  <c r="C50" i="23"/>
  <c r="B50" i="23"/>
  <c r="F49" i="23"/>
  <c r="E49" i="23"/>
  <c r="D49" i="23"/>
  <c r="C49" i="23"/>
  <c r="B49" i="23"/>
  <c r="G48" i="23"/>
  <c r="F48" i="23"/>
  <c r="E48" i="23"/>
  <c r="D48" i="23"/>
  <c r="C48" i="23"/>
  <c r="B48" i="23"/>
  <c r="G47" i="23"/>
  <c r="F47" i="23"/>
  <c r="E47" i="23"/>
  <c r="D47" i="23"/>
  <c r="C47" i="23"/>
  <c r="B47" i="23"/>
  <c r="G46" i="23"/>
  <c r="F46" i="23"/>
  <c r="E46" i="23"/>
  <c r="D46" i="23"/>
  <c r="C46" i="23"/>
  <c r="B46" i="23"/>
  <c r="F45" i="23"/>
  <c r="E45" i="23"/>
  <c r="D45" i="23"/>
  <c r="C45" i="23"/>
  <c r="B45" i="23"/>
  <c r="F6" i="23"/>
  <c r="E6" i="23"/>
  <c r="D6" i="23"/>
  <c r="C6" i="23"/>
  <c r="B6" i="23"/>
  <c r="F29" i="21"/>
  <c r="E29" i="21"/>
  <c r="C29" i="21"/>
  <c r="G28" i="21"/>
  <c r="F28" i="21"/>
  <c r="E28" i="21"/>
  <c r="D28" i="21"/>
  <c r="C28" i="21"/>
  <c r="H11" i="22"/>
  <c r="G11" i="22"/>
  <c r="F11" i="22"/>
  <c r="E11" i="22"/>
  <c r="D11" i="22"/>
  <c r="C11" i="22"/>
  <c r="B11" i="22"/>
  <c r="H10" i="22"/>
  <c r="G10" i="22"/>
  <c r="F10" i="22"/>
  <c r="E10" i="22"/>
  <c r="D10" i="22"/>
  <c r="C10" i="22"/>
  <c r="B10" i="22"/>
  <c r="G16" i="21"/>
  <c r="H16" i="21" s="1"/>
  <c r="G15" i="21"/>
  <c r="H15" i="21" s="1"/>
  <c r="G14" i="21"/>
  <c r="H14" i="21" s="1"/>
  <c r="G13" i="21"/>
  <c r="H13" i="21" s="1"/>
  <c r="G12" i="21"/>
  <c r="H12" i="21" s="1"/>
  <c r="G11" i="21"/>
  <c r="H11" i="21" s="1"/>
  <c r="G10" i="21"/>
  <c r="H10" i="21" s="1"/>
  <c r="G9" i="21"/>
  <c r="H9" i="21" s="1"/>
  <c r="G8" i="21"/>
  <c r="H8" i="21" s="1"/>
  <c r="G7" i="21"/>
  <c r="H7" i="21" s="1"/>
  <c r="G6" i="21"/>
  <c r="H6" i="21" s="1"/>
  <c r="G5" i="21"/>
  <c r="H5" i="21" s="1"/>
  <c r="G4" i="21"/>
  <c r="H4" i="21" s="1"/>
  <c r="G3" i="21"/>
  <c r="H3" i="21" s="1"/>
  <c r="H9" i="17"/>
  <c r="F9" i="17"/>
  <c r="H8" i="17"/>
  <c r="G8" i="17"/>
  <c r="F8" i="17"/>
  <c r="E8" i="17"/>
  <c r="D8" i="17"/>
  <c r="C8" i="17"/>
  <c r="B8" i="17"/>
  <c r="H4" i="17"/>
  <c r="G4" i="17"/>
  <c r="D4" i="17"/>
  <c r="C4" i="17"/>
  <c r="B4" i="17"/>
  <c r="H3" i="17"/>
  <c r="G3" i="17"/>
  <c r="F3" i="17"/>
  <c r="E3" i="17"/>
  <c r="D3" i="17"/>
  <c r="C3" i="17"/>
  <c r="B3" i="17"/>
  <c r="H53" i="23" l="1"/>
  <c r="G6" i="23"/>
  <c r="H46" i="23"/>
  <c r="H52" i="23"/>
  <c r="C5" i="17"/>
  <c r="H47" i="23"/>
  <c r="H54" i="23"/>
  <c r="H45" i="23"/>
  <c r="H49" i="23"/>
  <c r="H48" i="23"/>
  <c r="H50" i="23"/>
  <c r="H51" i="23"/>
  <c r="B5" i="17"/>
  <c r="G5" i="17"/>
  <c r="D5" i="17"/>
  <c r="H5" i="17"/>
  <c r="H41" i="4" l="1"/>
  <c r="G41" i="4"/>
  <c r="B41" i="9" s="1"/>
  <c r="G42" i="4"/>
  <c r="B42" i="9" s="1"/>
  <c r="E40" i="4"/>
  <c r="F5" i="24" s="1"/>
  <c r="E39" i="4"/>
  <c r="F7" i="24" s="1"/>
  <c r="E38" i="4"/>
  <c r="F4" i="24" s="1"/>
  <c r="A42" i="6"/>
  <c r="B42" i="6"/>
  <c r="A42" i="9"/>
  <c r="A42" i="10"/>
  <c r="B42" i="10"/>
  <c r="A42" i="7"/>
  <c r="B42" i="7"/>
  <c r="A42" i="3"/>
  <c r="B42" i="3"/>
  <c r="A42" i="5"/>
  <c r="B42" i="5"/>
  <c r="A42" i="8"/>
  <c r="E42" i="4"/>
  <c r="E41" i="4"/>
  <c r="D41" i="4"/>
  <c r="B41" i="7" s="1"/>
  <c r="A41" i="6"/>
  <c r="A41" i="9"/>
  <c r="A41" i="10"/>
  <c r="B41" i="10"/>
  <c r="A41" i="8"/>
  <c r="A41" i="7"/>
  <c r="A41" i="3"/>
  <c r="B41" i="3"/>
  <c r="A41" i="5"/>
  <c r="B41" i="8" l="1"/>
  <c r="F6" i="24"/>
  <c r="B42" i="8"/>
  <c r="F8" i="24"/>
  <c r="B41" i="6"/>
  <c r="I6" i="24"/>
  <c r="C39" i="4"/>
  <c r="C38" i="4"/>
  <c r="B41" i="4"/>
  <c r="F9" i="24" l="1"/>
  <c r="F10" i="24" s="1"/>
  <c r="I9" i="24"/>
  <c r="I10" i="24"/>
  <c r="B41" i="5"/>
  <c r="E20" i="4"/>
  <c r="E9" i="17" s="1"/>
  <c r="D20" i="4"/>
  <c r="D9" i="17" s="1"/>
  <c r="G20" i="4"/>
  <c r="G9" i="17" s="1"/>
  <c r="H43" i="4"/>
  <c r="K34" i="32" s="1"/>
  <c r="F43" i="4"/>
  <c r="K29" i="32" s="1"/>
  <c r="D43" i="4"/>
  <c r="K32" i="32" s="1"/>
  <c r="B43" i="4"/>
  <c r="K30" i="32" s="1"/>
  <c r="G62" i="4"/>
  <c r="G7" i="35" s="1"/>
  <c r="E25" i="4"/>
  <c r="E62" i="4"/>
  <c r="G30" i="35" l="1"/>
  <c r="G29" i="35"/>
  <c r="G10" i="35"/>
  <c r="E13" i="24"/>
  <c r="G13" i="24"/>
  <c r="C13" i="24"/>
  <c r="I13" i="24"/>
  <c r="G43" i="4"/>
  <c r="K33" i="32" s="1"/>
  <c r="C17" i="4"/>
  <c r="C16" i="4"/>
  <c r="C20" i="35" s="1"/>
  <c r="A22" i="6"/>
  <c r="B22" i="6"/>
  <c r="A23" i="6"/>
  <c r="B23" i="6"/>
  <c r="A22" i="9"/>
  <c r="B22" i="9"/>
  <c r="A23" i="9"/>
  <c r="B23" i="9"/>
  <c r="A22" i="10"/>
  <c r="B22" i="10"/>
  <c r="A23" i="10"/>
  <c r="B23" i="10"/>
  <c r="A22" i="8"/>
  <c r="B22" i="8"/>
  <c r="A23" i="8"/>
  <c r="B23" i="8"/>
  <c r="A22" i="7"/>
  <c r="B22" i="7"/>
  <c r="A23" i="7"/>
  <c r="B23" i="7"/>
  <c r="A22" i="3"/>
  <c r="B22" i="3"/>
  <c r="A23" i="3"/>
  <c r="B23" i="3"/>
  <c r="A22" i="5"/>
  <c r="B22" i="5"/>
  <c r="A23" i="5"/>
  <c r="B23" i="5"/>
  <c r="A16" i="6"/>
  <c r="B16" i="6"/>
  <c r="A17" i="6"/>
  <c r="B17" i="6"/>
  <c r="A16" i="9"/>
  <c r="B16" i="9"/>
  <c r="A17" i="9"/>
  <c r="B17" i="9"/>
  <c r="A16" i="10"/>
  <c r="B16" i="10"/>
  <c r="A17" i="10"/>
  <c r="A16" i="8"/>
  <c r="A17" i="8"/>
  <c r="A16" i="7"/>
  <c r="B16" i="7"/>
  <c r="A17" i="7"/>
  <c r="B17" i="7"/>
  <c r="A16" i="3"/>
  <c r="A17" i="3"/>
  <c r="A16" i="5"/>
  <c r="B16" i="5"/>
  <c r="A17" i="5"/>
  <c r="B17" i="5"/>
  <c r="B20" i="4"/>
  <c r="B9" i="17" s="1"/>
  <c r="C20" i="4"/>
  <c r="C9" i="17" s="1"/>
  <c r="A62" i="6"/>
  <c r="A20" i="6"/>
  <c r="A62" i="9"/>
  <c r="B62" i="9"/>
  <c r="A20" i="9"/>
  <c r="B20" i="9"/>
  <c r="A62" i="10"/>
  <c r="B62" i="10"/>
  <c r="A20" i="10"/>
  <c r="A62" i="8"/>
  <c r="B62" i="8"/>
  <c r="A20" i="8"/>
  <c r="A62" i="7"/>
  <c r="B62" i="7"/>
  <c r="A20" i="7"/>
  <c r="A62" i="3"/>
  <c r="B62" i="3"/>
  <c r="A20" i="3"/>
  <c r="A62" i="5"/>
  <c r="B62" i="5"/>
  <c r="A20" i="5"/>
  <c r="D19" i="4"/>
  <c r="E16" i="4"/>
  <c r="F20" i="35" s="1"/>
  <c r="E17" i="4"/>
  <c r="B17" i="8" s="1"/>
  <c r="F17" i="4"/>
  <c r="B17" i="10" s="1"/>
  <c r="E19" i="4"/>
  <c r="D37" i="4"/>
  <c r="G11" i="35" l="1"/>
  <c r="G32" i="35"/>
  <c r="G33" i="35" s="1"/>
  <c r="F32" i="35"/>
  <c r="F29" i="35"/>
  <c r="F30" i="35"/>
  <c r="F31" i="35"/>
  <c r="F28" i="35"/>
  <c r="F25" i="35"/>
  <c r="C28" i="35"/>
  <c r="C29" i="35"/>
  <c r="C25" i="35"/>
  <c r="C26" i="35"/>
  <c r="C32" i="35"/>
  <c r="F4" i="17"/>
  <c r="F5" i="17" s="1"/>
  <c r="F9" i="35"/>
  <c r="E4" i="17"/>
  <c r="E5" i="17" s="1"/>
  <c r="E9" i="35"/>
  <c r="E7" i="24"/>
  <c r="E20" i="24" s="1"/>
  <c r="E6" i="24"/>
  <c r="E19" i="24" s="1"/>
  <c r="E5" i="24"/>
  <c r="E18" i="24" s="1"/>
  <c r="E4" i="24"/>
  <c r="E8" i="24"/>
  <c r="E21" i="24" s="1"/>
  <c r="C21" i="4"/>
  <c r="C8" i="4"/>
  <c r="B28" i="21" s="1"/>
  <c r="I21" i="24"/>
  <c r="I19" i="24"/>
  <c r="I17" i="24"/>
  <c r="I22" i="24"/>
  <c r="I20" i="24"/>
  <c r="I18" i="24"/>
  <c r="B17" i="3"/>
  <c r="C48" i="4"/>
  <c r="E17" i="24"/>
  <c r="G19" i="24"/>
  <c r="H13" i="24"/>
  <c r="B16" i="3"/>
  <c r="C43" i="4"/>
  <c r="K31" i="32" s="1"/>
  <c r="B16" i="8"/>
  <c r="E43" i="4"/>
  <c r="K35" i="32" s="1"/>
  <c r="B20" i="7"/>
  <c r="B20" i="8"/>
  <c r="B20" i="3"/>
  <c r="B19" i="8"/>
  <c r="B20" i="5"/>
  <c r="E10" i="35" l="1"/>
  <c r="E26" i="35"/>
  <c r="C33" i="35"/>
  <c r="F26" i="35"/>
  <c r="F33" i="35" s="1"/>
  <c r="F11" i="35"/>
  <c r="E9" i="24"/>
  <c r="F13" i="24"/>
  <c r="D13" i="24"/>
  <c r="I23" i="24"/>
  <c r="B18" i="7"/>
  <c r="B19" i="7"/>
  <c r="E11" i="35" l="1"/>
  <c r="E32" i="35"/>
  <c r="E33" i="35" s="1"/>
  <c r="E10" i="24"/>
  <c r="E22" i="24"/>
  <c r="E23" i="24" s="1"/>
  <c r="F19" i="24"/>
  <c r="F22" i="24"/>
  <c r="F20" i="24"/>
  <c r="F18" i="24"/>
  <c r="F21" i="24"/>
  <c r="F17" i="24"/>
  <c r="J13" i="24"/>
  <c r="G48" i="4"/>
  <c r="G29" i="21" s="1"/>
  <c r="F8" i="4"/>
  <c r="B46" i="6"/>
  <c r="H48" i="4"/>
  <c r="D29" i="21" s="1"/>
  <c r="B7" i="7"/>
  <c r="C26" i="4"/>
  <c r="C27" i="4" s="1"/>
  <c r="C37" i="4"/>
  <c r="B29" i="21"/>
  <c r="C65" i="4"/>
  <c r="C68" i="4"/>
  <c r="C44" i="4" l="1"/>
  <c r="J72" i="32" s="1"/>
  <c r="D8" i="24"/>
  <c r="D21" i="24" s="1"/>
  <c r="D5" i="24"/>
  <c r="D18" i="24" s="1"/>
  <c r="D6" i="24"/>
  <c r="D19" i="24" s="1"/>
  <c r="D7" i="24"/>
  <c r="D20" i="24" s="1"/>
  <c r="D4" i="24"/>
  <c r="F23" i="24"/>
  <c r="C28" i="4"/>
  <c r="C61" i="4"/>
  <c r="D9" i="24" l="1"/>
  <c r="D17" i="24"/>
  <c r="C63" i="4"/>
  <c r="O47" i="32" s="1"/>
  <c r="O46" i="32"/>
  <c r="B7" i="6"/>
  <c r="A7" i="10"/>
  <c r="B7" i="10"/>
  <c r="A7" i="9"/>
  <c r="B7" i="9"/>
  <c r="A7" i="8"/>
  <c r="B7" i="8"/>
  <c r="A7" i="7"/>
  <c r="A7" i="6"/>
  <c r="A7" i="5"/>
  <c r="B7" i="5"/>
  <c r="A7" i="3"/>
  <c r="B7" i="3"/>
  <c r="D10" i="24" l="1"/>
  <c r="D22" i="24"/>
  <c r="D23" i="24" s="1"/>
  <c r="D44" i="4"/>
  <c r="M72" i="32" s="1"/>
  <c r="B68" i="4" l="1"/>
  <c r="B38" i="10" l="1"/>
  <c r="B39" i="10"/>
  <c r="B40" i="10"/>
  <c r="A38" i="10"/>
  <c r="A39" i="10"/>
  <c r="A40" i="10"/>
  <c r="A38" i="9"/>
  <c r="B38" i="9"/>
  <c r="A39" i="9"/>
  <c r="B39" i="9"/>
  <c r="A40" i="9"/>
  <c r="B40" i="9"/>
  <c r="A38" i="8"/>
  <c r="B38" i="8"/>
  <c r="A39" i="8"/>
  <c r="B39" i="8"/>
  <c r="A40" i="8"/>
  <c r="B40" i="8"/>
  <c r="A38" i="7"/>
  <c r="B38" i="7"/>
  <c r="A39" i="7"/>
  <c r="B39" i="7"/>
  <c r="A40" i="7"/>
  <c r="B40" i="7"/>
  <c r="A38" i="6"/>
  <c r="B38" i="6"/>
  <c r="A39" i="6"/>
  <c r="B39" i="6"/>
  <c r="A40" i="6"/>
  <c r="B40" i="6"/>
  <c r="A38" i="5"/>
  <c r="B38" i="5"/>
  <c r="A39" i="5"/>
  <c r="B39" i="5"/>
  <c r="A40" i="5"/>
  <c r="B40" i="5"/>
  <c r="A38" i="3"/>
  <c r="B38" i="3"/>
  <c r="A39" i="3"/>
  <c r="B39" i="3"/>
  <c r="A40" i="3"/>
  <c r="B40" i="3"/>
  <c r="B64" i="4" l="1"/>
  <c r="B35" i="10" l="1"/>
  <c r="A35" i="10"/>
  <c r="G37" i="4"/>
  <c r="B35" i="9"/>
  <c r="A35" i="9"/>
  <c r="E44" i="4"/>
  <c r="N72" i="32" s="1"/>
  <c r="B35" i="8"/>
  <c r="A35" i="8"/>
  <c r="B35" i="7"/>
  <c r="A35" i="7"/>
  <c r="B35" i="6"/>
  <c r="B36" i="6"/>
  <c r="A35" i="6"/>
  <c r="A35" i="5"/>
  <c r="B35" i="5"/>
  <c r="A36" i="5"/>
  <c r="B36" i="5"/>
  <c r="A35" i="3"/>
  <c r="A36" i="3"/>
  <c r="B36" i="3"/>
  <c r="B35" i="3"/>
  <c r="B45" i="6"/>
  <c r="G44" i="4" l="1"/>
  <c r="O72" i="32" s="1"/>
  <c r="H5" i="24"/>
  <c r="H8" i="24"/>
  <c r="H4" i="24"/>
  <c r="H7" i="24"/>
  <c r="H6" i="24"/>
  <c r="E26" i="4"/>
  <c r="H18" i="24" l="1"/>
  <c r="H17" i="24"/>
  <c r="H21" i="24"/>
  <c r="H9" i="24"/>
  <c r="H10" i="24" s="1"/>
  <c r="H19" i="24"/>
  <c r="H20" i="24"/>
  <c r="G65" i="4"/>
  <c r="G68" i="4"/>
  <c r="G64" i="4"/>
  <c r="E68" i="4"/>
  <c r="E66" i="4"/>
  <c r="H68" i="4"/>
  <c r="H22" i="24" l="1"/>
  <c r="A4" i="10"/>
  <c r="B4" i="10"/>
  <c r="A5" i="10"/>
  <c r="B5" i="10"/>
  <c r="A6" i="10"/>
  <c r="B6" i="10"/>
  <c r="A8" i="10"/>
  <c r="B8" i="10"/>
  <c r="A9" i="10"/>
  <c r="B9" i="10"/>
  <c r="A10" i="10"/>
  <c r="B10" i="10"/>
  <c r="A11" i="10"/>
  <c r="B11" i="10"/>
  <c r="A12" i="10"/>
  <c r="B12" i="10"/>
  <c r="A13" i="10"/>
  <c r="A14" i="10"/>
  <c r="B14" i="10"/>
  <c r="A15" i="10"/>
  <c r="B15" i="10"/>
  <c r="A18" i="10"/>
  <c r="B18" i="10"/>
  <c r="A19" i="10"/>
  <c r="A21" i="10"/>
  <c r="A24" i="10"/>
  <c r="A25" i="10"/>
  <c r="B25" i="10"/>
  <c r="A26" i="10"/>
  <c r="A27" i="10"/>
  <c r="A28" i="10"/>
  <c r="A29" i="10"/>
  <c r="A30" i="10"/>
  <c r="A31" i="10"/>
  <c r="B31" i="10"/>
  <c r="A32" i="10"/>
  <c r="A33" i="10"/>
  <c r="B33" i="10"/>
  <c r="A34" i="10"/>
  <c r="A36" i="10"/>
  <c r="B36" i="10"/>
  <c r="A37" i="10"/>
  <c r="A43" i="10"/>
  <c r="A44" i="10"/>
  <c r="A45" i="10"/>
  <c r="B45" i="10"/>
  <c r="A46" i="10"/>
  <c r="B46" i="10"/>
  <c r="A47" i="10"/>
  <c r="A48" i="10"/>
  <c r="B48" i="10"/>
  <c r="A49" i="10"/>
  <c r="A50" i="10"/>
  <c r="B50" i="10"/>
  <c r="A51" i="10"/>
  <c r="B51" i="10"/>
  <c r="A52" i="10"/>
  <c r="A53" i="10"/>
  <c r="B53" i="10"/>
  <c r="A54" i="10"/>
  <c r="B54" i="10"/>
  <c r="A55" i="10"/>
  <c r="A56" i="10"/>
  <c r="B56" i="10"/>
  <c r="A57" i="10"/>
  <c r="B57" i="10"/>
  <c r="A58" i="10"/>
  <c r="B58" i="10"/>
  <c r="A59" i="10"/>
  <c r="B59" i="10"/>
  <c r="A60" i="10"/>
  <c r="B60" i="10"/>
  <c r="A61" i="10"/>
  <c r="A63" i="10"/>
  <c r="A64" i="10"/>
  <c r="B64" i="10"/>
  <c r="A65" i="10"/>
  <c r="B65" i="10"/>
  <c r="A66" i="10"/>
  <c r="B66" i="10"/>
  <c r="A67" i="10"/>
  <c r="B67" i="10"/>
  <c r="A68" i="10"/>
  <c r="B68" i="10"/>
  <c r="A4" i="9"/>
  <c r="B4" i="9"/>
  <c r="A5" i="9"/>
  <c r="A6" i="9"/>
  <c r="B6" i="9"/>
  <c r="A8" i="9"/>
  <c r="B8" i="9"/>
  <c r="A9" i="9"/>
  <c r="B9" i="9"/>
  <c r="A10" i="9"/>
  <c r="B10" i="9"/>
  <c r="A11" i="9"/>
  <c r="B11" i="9"/>
  <c r="A12" i="9"/>
  <c r="B12" i="9"/>
  <c r="A13" i="9"/>
  <c r="A14" i="9"/>
  <c r="B14" i="9"/>
  <c r="A15" i="9"/>
  <c r="B15" i="9"/>
  <c r="A18" i="9"/>
  <c r="B18" i="9"/>
  <c r="A19" i="9"/>
  <c r="B19" i="9"/>
  <c r="A21" i="9"/>
  <c r="A24" i="9"/>
  <c r="A25" i="9"/>
  <c r="B25" i="9"/>
  <c r="A26" i="9"/>
  <c r="A27" i="9"/>
  <c r="A28" i="9"/>
  <c r="A29" i="9"/>
  <c r="A30" i="9"/>
  <c r="A31" i="9"/>
  <c r="B31" i="9"/>
  <c r="A32" i="9"/>
  <c r="A33" i="9"/>
  <c r="B33" i="9"/>
  <c r="A34" i="9"/>
  <c r="A36" i="9"/>
  <c r="B36" i="9"/>
  <c r="A37" i="9"/>
  <c r="B37" i="9"/>
  <c r="A43" i="9"/>
  <c r="B43" i="9"/>
  <c r="A44" i="9"/>
  <c r="B44" i="9"/>
  <c r="A45" i="9"/>
  <c r="B45" i="9"/>
  <c r="A46" i="9"/>
  <c r="B46" i="9"/>
  <c r="A47" i="9"/>
  <c r="A48" i="9"/>
  <c r="A49" i="9"/>
  <c r="A50" i="9"/>
  <c r="B50" i="9"/>
  <c r="A51" i="9"/>
  <c r="B51" i="9"/>
  <c r="A52" i="9"/>
  <c r="A53" i="9"/>
  <c r="B53" i="9"/>
  <c r="A54" i="9"/>
  <c r="B54" i="9"/>
  <c r="A55" i="9"/>
  <c r="A56" i="9"/>
  <c r="B56" i="9"/>
  <c r="A57" i="9"/>
  <c r="B57" i="9"/>
  <c r="A58" i="9"/>
  <c r="B58" i="9"/>
  <c r="A59" i="9"/>
  <c r="B59" i="9"/>
  <c r="A60" i="9"/>
  <c r="B60" i="9"/>
  <c r="A61" i="9"/>
  <c r="A63" i="9"/>
  <c r="A64" i="9"/>
  <c r="B64" i="9"/>
  <c r="A65" i="9"/>
  <c r="B65" i="9"/>
  <c r="A66" i="9"/>
  <c r="B66" i="9"/>
  <c r="A67" i="9"/>
  <c r="B67" i="9"/>
  <c r="A68" i="9"/>
  <c r="B68" i="9"/>
  <c r="A4" i="8"/>
  <c r="B4" i="8"/>
  <c r="A5" i="8"/>
  <c r="B5" i="8"/>
  <c r="A6" i="8"/>
  <c r="B6" i="8"/>
  <c r="A8" i="8"/>
  <c r="B8" i="8"/>
  <c r="A9" i="8"/>
  <c r="B9" i="8"/>
  <c r="A10" i="8"/>
  <c r="B10" i="8"/>
  <c r="A11" i="8"/>
  <c r="B11" i="8"/>
  <c r="A12" i="8"/>
  <c r="B12" i="8"/>
  <c r="A13" i="8"/>
  <c r="A14" i="8"/>
  <c r="B14" i="8"/>
  <c r="A15" i="8"/>
  <c r="B15" i="8"/>
  <c r="A18" i="8"/>
  <c r="B18" i="8"/>
  <c r="A19" i="8"/>
  <c r="A21" i="8"/>
  <c r="A24" i="8"/>
  <c r="A25" i="8"/>
  <c r="B25" i="8"/>
  <c r="A26" i="8"/>
  <c r="A27" i="8"/>
  <c r="A28" i="8"/>
  <c r="A29" i="8"/>
  <c r="A30" i="8"/>
  <c r="A31" i="8"/>
  <c r="B31" i="8"/>
  <c r="A32" i="8"/>
  <c r="A33" i="8"/>
  <c r="B33" i="8"/>
  <c r="A34" i="8"/>
  <c r="A36" i="8"/>
  <c r="B36" i="8"/>
  <c r="A37" i="8"/>
  <c r="B37" i="8"/>
  <c r="A43" i="8"/>
  <c r="A44" i="8"/>
  <c r="B44" i="8"/>
  <c r="A45" i="8"/>
  <c r="B45" i="8"/>
  <c r="A46" i="8"/>
  <c r="B46" i="8"/>
  <c r="A47" i="8"/>
  <c r="B47" i="8"/>
  <c r="A48" i="8"/>
  <c r="B48" i="8"/>
  <c r="A49" i="8"/>
  <c r="A50" i="8"/>
  <c r="B50" i="8"/>
  <c r="A51" i="8"/>
  <c r="B51" i="8"/>
  <c r="A52" i="8"/>
  <c r="A53" i="8"/>
  <c r="B53" i="8"/>
  <c r="A54" i="8"/>
  <c r="B54" i="8"/>
  <c r="A55" i="8"/>
  <c r="B55" i="8"/>
  <c r="A56" i="8"/>
  <c r="B56" i="8"/>
  <c r="A57" i="8"/>
  <c r="B57" i="8"/>
  <c r="A58" i="8"/>
  <c r="B58" i="8"/>
  <c r="A59" i="8"/>
  <c r="B59" i="8"/>
  <c r="A60" i="8"/>
  <c r="B60" i="8"/>
  <c r="A61" i="8"/>
  <c r="A63" i="8"/>
  <c r="A64" i="8"/>
  <c r="B64" i="8"/>
  <c r="A65" i="8"/>
  <c r="B65" i="8"/>
  <c r="A66" i="8"/>
  <c r="B66" i="8"/>
  <c r="A67" i="8"/>
  <c r="B67" i="8"/>
  <c r="A68" i="8"/>
  <c r="B68" i="8"/>
  <c r="A5" i="7"/>
  <c r="B5" i="7"/>
  <c r="A6" i="7"/>
  <c r="B6" i="7"/>
  <c r="A8" i="7"/>
  <c r="B8" i="7"/>
  <c r="A9" i="7"/>
  <c r="B9" i="7"/>
  <c r="A10" i="7"/>
  <c r="B10" i="7"/>
  <c r="A11" i="7"/>
  <c r="B11" i="7"/>
  <c r="A12" i="7"/>
  <c r="B12" i="7"/>
  <c r="A13" i="7"/>
  <c r="A14" i="7"/>
  <c r="B14" i="7"/>
  <c r="A15" i="7"/>
  <c r="B15" i="7"/>
  <c r="A18" i="7"/>
  <c r="A19" i="7"/>
  <c r="A21" i="7"/>
  <c r="A24" i="7"/>
  <c r="A25" i="7"/>
  <c r="B25" i="7"/>
  <c r="A26" i="7"/>
  <c r="A27" i="7"/>
  <c r="A28" i="7"/>
  <c r="A29" i="7"/>
  <c r="A30" i="7"/>
  <c r="A31" i="7"/>
  <c r="B31" i="7"/>
  <c r="A32" i="7"/>
  <c r="A33" i="7"/>
  <c r="B33" i="7"/>
  <c r="A34" i="7"/>
  <c r="A36" i="7"/>
  <c r="B36" i="7"/>
  <c r="A37" i="7"/>
  <c r="B37" i="7"/>
  <c r="A43" i="7"/>
  <c r="A44" i="7"/>
  <c r="A45" i="7"/>
  <c r="B45" i="7"/>
  <c r="A46" i="7"/>
  <c r="B46" i="7"/>
  <c r="A47" i="7"/>
  <c r="B47" i="7"/>
  <c r="A48" i="7"/>
  <c r="B48" i="7"/>
  <c r="A49" i="7"/>
  <c r="A50" i="7"/>
  <c r="B50" i="7"/>
  <c r="A51" i="7"/>
  <c r="B51" i="7"/>
  <c r="A52" i="7"/>
  <c r="A53" i="7"/>
  <c r="B53" i="7"/>
  <c r="A54" i="7"/>
  <c r="B54" i="7"/>
  <c r="A55" i="7"/>
  <c r="A56" i="7"/>
  <c r="B56" i="7"/>
  <c r="A57" i="7"/>
  <c r="B57" i="7"/>
  <c r="A58" i="7"/>
  <c r="B58" i="7"/>
  <c r="A59" i="7"/>
  <c r="B59" i="7"/>
  <c r="A60" i="7"/>
  <c r="B60" i="7"/>
  <c r="A61" i="7"/>
  <c r="A63" i="7"/>
  <c r="A64" i="7"/>
  <c r="B64" i="7"/>
  <c r="A65" i="7"/>
  <c r="B65" i="7"/>
  <c r="A66" i="7"/>
  <c r="B66" i="7"/>
  <c r="A67" i="7"/>
  <c r="B67" i="7"/>
  <c r="A68" i="7"/>
  <c r="B68" i="7"/>
  <c r="A4" i="6"/>
  <c r="B4" i="6"/>
  <c r="A5" i="6"/>
  <c r="B5" i="6"/>
  <c r="A6" i="6"/>
  <c r="B6" i="6"/>
  <c r="A8" i="6"/>
  <c r="B8" i="6"/>
  <c r="A9" i="6"/>
  <c r="B9" i="6"/>
  <c r="A10" i="6"/>
  <c r="B10" i="6"/>
  <c r="A11" i="6"/>
  <c r="B11" i="6"/>
  <c r="A12" i="6"/>
  <c r="B12" i="6"/>
  <c r="A13" i="6"/>
  <c r="A14" i="6"/>
  <c r="B14" i="6"/>
  <c r="A15" i="6"/>
  <c r="B15" i="6"/>
  <c r="A18" i="6"/>
  <c r="B18" i="6"/>
  <c r="A19" i="6"/>
  <c r="A21" i="6"/>
  <c r="A24" i="6"/>
  <c r="A25" i="6"/>
  <c r="B25" i="6"/>
  <c r="A26" i="6"/>
  <c r="A27" i="6"/>
  <c r="A28" i="6"/>
  <c r="A29" i="6"/>
  <c r="A30" i="6"/>
  <c r="A31" i="6"/>
  <c r="B31" i="6"/>
  <c r="A32" i="6"/>
  <c r="A33" i="6"/>
  <c r="B33" i="6"/>
  <c r="A34" i="6"/>
  <c r="A36" i="6"/>
  <c r="A37" i="6"/>
  <c r="A43" i="6"/>
  <c r="A44" i="6"/>
  <c r="A45" i="6"/>
  <c r="A46" i="6"/>
  <c r="A47" i="6"/>
  <c r="B47" i="6"/>
  <c r="A48" i="6"/>
  <c r="B48" i="6"/>
  <c r="A49" i="6"/>
  <c r="A50" i="6"/>
  <c r="B50" i="6"/>
  <c r="A51" i="6"/>
  <c r="B51" i="6"/>
  <c r="A52" i="6"/>
  <c r="A53" i="6"/>
  <c r="B53" i="6"/>
  <c r="A54" i="6"/>
  <c r="B54" i="6"/>
  <c r="A55" i="6"/>
  <c r="A56" i="6"/>
  <c r="B56" i="6"/>
  <c r="A57" i="6"/>
  <c r="B57" i="6"/>
  <c r="A58" i="6"/>
  <c r="B58" i="6"/>
  <c r="A59" i="6"/>
  <c r="B59" i="6"/>
  <c r="A60" i="6"/>
  <c r="B60" i="6"/>
  <c r="A61" i="6"/>
  <c r="A63" i="6"/>
  <c r="A64" i="6"/>
  <c r="B64" i="6"/>
  <c r="A65" i="6"/>
  <c r="B65" i="6"/>
  <c r="A66" i="6"/>
  <c r="B66" i="6"/>
  <c r="A67" i="6"/>
  <c r="B67" i="6"/>
  <c r="A68" i="6"/>
  <c r="B68" i="6"/>
  <c r="A4" i="5"/>
  <c r="B4" i="5"/>
  <c r="A5" i="5"/>
  <c r="B5" i="5"/>
  <c r="A6" i="5"/>
  <c r="B6" i="5"/>
  <c r="A8" i="5"/>
  <c r="B8" i="5"/>
  <c r="A9" i="5"/>
  <c r="B9" i="5"/>
  <c r="A10" i="5"/>
  <c r="B10" i="5"/>
  <c r="A11" i="5"/>
  <c r="B11" i="5"/>
  <c r="A12" i="5"/>
  <c r="B12" i="5"/>
  <c r="A13" i="5"/>
  <c r="B13" i="5"/>
  <c r="A14" i="5"/>
  <c r="B14" i="5"/>
  <c r="A15" i="5"/>
  <c r="B15" i="5"/>
  <c r="A18" i="5"/>
  <c r="B18" i="5"/>
  <c r="A19" i="5"/>
  <c r="B19" i="5"/>
  <c r="A21" i="5"/>
  <c r="A24" i="5"/>
  <c r="B24" i="5"/>
  <c r="A25" i="5"/>
  <c r="B25" i="5"/>
  <c r="A26" i="5"/>
  <c r="A27" i="5"/>
  <c r="A28" i="5"/>
  <c r="A29" i="5"/>
  <c r="A30" i="5"/>
  <c r="A31" i="5"/>
  <c r="B31" i="5"/>
  <c r="A32" i="5"/>
  <c r="A33" i="5"/>
  <c r="B33" i="5"/>
  <c r="A34" i="5"/>
  <c r="A37" i="5"/>
  <c r="A43" i="5"/>
  <c r="A44" i="5"/>
  <c r="A45" i="5"/>
  <c r="B45" i="5"/>
  <c r="A46" i="5"/>
  <c r="A47" i="5"/>
  <c r="B47" i="5"/>
  <c r="A48" i="5"/>
  <c r="B48" i="5"/>
  <c r="A49" i="5"/>
  <c r="B49" i="5"/>
  <c r="A50" i="5"/>
  <c r="B50" i="5"/>
  <c r="A51" i="5"/>
  <c r="B51" i="5"/>
  <c r="A52" i="5"/>
  <c r="B52" i="5"/>
  <c r="A53" i="5"/>
  <c r="B53" i="5"/>
  <c r="A54" i="5"/>
  <c r="B54" i="5"/>
  <c r="A55" i="5"/>
  <c r="A56" i="5"/>
  <c r="B56" i="5"/>
  <c r="A57" i="5"/>
  <c r="B57" i="5"/>
  <c r="A58" i="5"/>
  <c r="B58" i="5"/>
  <c r="A59" i="5"/>
  <c r="B59" i="5"/>
  <c r="A60" i="5"/>
  <c r="B60" i="5"/>
  <c r="A61" i="5"/>
  <c r="A63" i="5"/>
  <c r="A64" i="5"/>
  <c r="B64" i="5"/>
  <c r="A65" i="5"/>
  <c r="B65" i="5"/>
  <c r="A66" i="5"/>
  <c r="B66" i="5"/>
  <c r="A67" i="5"/>
  <c r="B67" i="5"/>
  <c r="A68" i="5"/>
  <c r="B68" i="5"/>
  <c r="A13" i="3"/>
  <c r="A14" i="3"/>
  <c r="B14" i="3"/>
  <c r="A15" i="3"/>
  <c r="B15" i="3"/>
  <c r="A18" i="3"/>
  <c r="B18" i="3"/>
  <c r="A19" i="3"/>
  <c r="A21" i="3"/>
  <c r="A24" i="3"/>
  <c r="A25" i="3"/>
  <c r="B25" i="3"/>
  <c r="A26" i="3"/>
  <c r="A27" i="3"/>
  <c r="A28" i="3"/>
  <c r="A29" i="3"/>
  <c r="A30" i="3"/>
  <c r="A31" i="3"/>
  <c r="B31" i="3"/>
  <c r="A32" i="3"/>
  <c r="A33" i="3"/>
  <c r="B33" i="3"/>
  <c r="A34" i="3"/>
  <c r="A37" i="3"/>
  <c r="A43" i="3"/>
  <c r="A44" i="3"/>
  <c r="A45" i="3"/>
  <c r="B45" i="3"/>
  <c r="A46" i="3"/>
  <c r="B46" i="3"/>
  <c r="A47" i="3"/>
  <c r="A48" i="3"/>
  <c r="A49" i="3"/>
  <c r="A50" i="3"/>
  <c r="B50" i="3"/>
  <c r="A51" i="3"/>
  <c r="B51" i="3"/>
  <c r="A52" i="3"/>
  <c r="A53" i="3"/>
  <c r="B53" i="3"/>
  <c r="A54" i="3"/>
  <c r="B54" i="3"/>
  <c r="A55" i="3"/>
  <c r="A56" i="3"/>
  <c r="B56" i="3"/>
  <c r="A57" i="3"/>
  <c r="B57" i="3"/>
  <c r="A58" i="3"/>
  <c r="B58" i="3"/>
  <c r="A59" i="3"/>
  <c r="B59" i="3"/>
  <c r="A60" i="3"/>
  <c r="B60" i="3"/>
  <c r="A61" i="3"/>
  <c r="A63" i="3"/>
  <c r="A64" i="3"/>
  <c r="B64" i="3"/>
  <c r="A65" i="3"/>
  <c r="A66" i="3"/>
  <c r="B66" i="3"/>
  <c r="A67" i="3"/>
  <c r="B67" i="3"/>
  <c r="A68" i="3"/>
  <c r="B68" i="3"/>
  <c r="A4" i="3"/>
  <c r="B4" i="3"/>
  <c r="A5" i="3"/>
  <c r="B5" i="3"/>
  <c r="A6" i="3"/>
  <c r="B6" i="3"/>
  <c r="A8" i="3"/>
  <c r="B8" i="3"/>
  <c r="A9" i="3"/>
  <c r="B9" i="3"/>
  <c r="A10" i="3"/>
  <c r="B10" i="3"/>
  <c r="A11" i="3"/>
  <c r="B11" i="3"/>
  <c r="A12" i="3"/>
  <c r="B12" i="3"/>
  <c r="A3" i="3"/>
  <c r="B3" i="3"/>
  <c r="H23" i="24" l="1"/>
  <c r="A3" i="5"/>
  <c r="B3" i="5"/>
  <c r="B70" i="3"/>
  <c r="A70" i="3"/>
  <c r="B21" i="7" l="1"/>
  <c r="E21" i="4"/>
  <c r="B21" i="8" s="1"/>
  <c r="B21" i="9"/>
  <c r="F21" i="4"/>
  <c r="B21" i="10" s="1"/>
  <c r="B21" i="3"/>
  <c r="B47" i="3" l="1"/>
  <c r="B65" i="3" l="1"/>
  <c r="B43" i="8"/>
  <c r="B44" i="7"/>
  <c r="B46" i="4"/>
  <c r="B6" i="35" s="1"/>
  <c r="B29" i="35" l="1"/>
  <c r="B10" i="35"/>
  <c r="B32" i="35" s="1"/>
  <c r="B46" i="5"/>
  <c r="B43" i="7"/>
  <c r="B48" i="9"/>
  <c r="B47" i="9"/>
  <c r="B21" i="5"/>
  <c r="A4" i="7"/>
  <c r="B4" i="7"/>
  <c r="B11" i="35" l="1"/>
  <c r="B33" i="35"/>
  <c r="B48" i="3"/>
  <c r="B37" i="4"/>
  <c r="G5" i="4"/>
  <c r="B5" i="9" s="1"/>
  <c r="B37" i="5" l="1"/>
  <c r="C5" i="24"/>
  <c r="C7" i="24"/>
  <c r="C8" i="24"/>
  <c r="C4" i="24"/>
  <c r="C6" i="24"/>
  <c r="B44" i="4"/>
  <c r="K72" i="32" s="1"/>
  <c r="F26" i="4"/>
  <c r="G26" i="4"/>
  <c r="B26" i="9" s="1"/>
  <c r="B26" i="8"/>
  <c r="B26" i="7"/>
  <c r="H26" i="4"/>
  <c r="B26" i="6" s="1"/>
  <c r="B26" i="4"/>
  <c r="B26" i="5" s="1"/>
  <c r="B26" i="3"/>
  <c r="C21" i="24" l="1"/>
  <c r="C20" i="24"/>
  <c r="C19" i="24"/>
  <c r="J19" i="24" s="1"/>
  <c r="J6" i="24"/>
  <c r="C18" i="24"/>
  <c r="C9" i="24"/>
  <c r="C10" i="24" s="1"/>
  <c r="C17" i="24"/>
  <c r="B44" i="5"/>
  <c r="B43" i="5"/>
  <c r="F28" i="4"/>
  <c r="B28" i="10" s="1"/>
  <c r="B26" i="10"/>
  <c r="F27" i="4"/>
  <c r="B27" i="10" s="1"/>
  <c r="F61" i="4"/>
  <c r="G61" i="4"/>
  <c r="E61" i="4"/>
  <c r="M46" i="32" s="1"/>
  <c r="D61" i="4"/>
  <c r="H61" i="4"/>
  <c r="L46" i="32" s="1"/>
  <c r="B61" i="4"/>
  <c r="B61" i="3"/>
  <c r="H27" i="4"/>
  <c r="B27" i="6" s="1"/>
  <c r="F37" i="4"/>
  <c r="B37" i="3"/>
  <c r="G27" i="4"/>
  <c r="B27" i="9" s="1"/>
  <c r="E27" i="4"/>
  <c r="B27" i="8" s="1"/>
  <c r="D27" i="4"/>
  <c r="B27" i="7" s="1"/>
  <c r="B27" i="4"/>
  <c r="B27" i="5" s="1"/>
  <c r="B27" i="3"/>
  <c r="G8" i="24" l="1"/>
  <c r="G7" i="24"/>
  <c r="G4" i="24"/>
  <c r="G5" i="24"/>
  <c r="C22" i="24"/>
  <c r="G63" i="4"/>
  <c r="J47" i="32" s="1"/>
  <c r="J46" i="32"/>
  <c r="F63" i="4"/>
  <c r="N47" i="32" s="1"/>
  <c r="N46" i="32"/>
  <c r="B63" i="4"/>
  <c r="P47" i="32" s="1"/>
  <c r="P46" i="32"/>
  <c r="D63" i="4"/>
  <c r="K47" i="32" s="1"/>
  <c r="K46" i="32"/>
  <c r="B61" i="6"/>
  <c r="H63" i="4"/>
  <c r="L47" i="32" s="1"/>
  <c r="B61" i="8"/>
  <c r="E63" i="4"/>
  <c r="B37" i="6"/>
  <c r="H44" i="4"/>
  <c r="L72" i="32" s="1"/>
  <c r="F44" i="4"/>
  <c r="P72" i="32" s="1"/>
  <c r="B37" i="10"/>
  <c r="B61" i="10"/>
  <c r="B61" i="7"/>
  <c r="B61" i="9"/>
  <c r="B61" i="5"/>
  <c r="B63" i="3"/>
  <c r="E28" i="4"/>
  <c r="B28" i="8" s="1"/>
  <c r="G21" i="24" l="1"/>
  <c r="J21" i="24" s="1"/>
  <c r="J8" i="24"/>
  <c r="C23" i="24"/>
  <c r="G17" i="24"/>
  <c r="J4" i="24"/>
  <c r="G20" i="24"/>
  <c r="J20" i="24" s="1"/>
  <c r="J7" i="24"/>
  <c r="B63" i="6"/>
  <c r="G9" i="24"/>
  <c r="G18" i="24"/>
  <c r="J18" i="24" s="1"/>
  <c r="J5" i="24"/>
  <c r="B63" i="8"/>
  <c r="M47" i="32"/>
  <c r="B63" i="10"/>
  <c r="B44" i="10"/>
  <c r="B44" i="6"/>
  <c r="B44" i="3"/>
  <c r="B43" i="10"/>
  <c r="B43" i="3"/>
  <c r="B43" i="6"/>
  <c r="B63" i="7"/>
  <c r="B63" i="9"/>
  <c r="B63" i="5"/>
  <c r="H28" i="4"/>
  <c r="B28" i="6" s="1"/>
  <c r="D28" i="4"/>
  <c r="B28" i="7" s="1"/>
  <c r="G28" i="4"/>
  <c r="B28" i="9" s="1"/>
  <c r="B28" i="4"/>
  <c r="B28" i="5" s="1"/>
  <c r="B28" i="3"/>
  <c r="A2" i="5"/>
  <c r="G22" i="24" l="1"/>
  <c r="J22" i="24" s="1"/>
  <c r="J9" i="24"/>
  <c r="G23" i="24"/>
  <c r="J17" i="24"/>
  <c r="G10" i="24"/>
  <c r="J10" i="24" s="1"/>
  <c r="A3" i="10"/>
  <c r="A2" i="10"/>
  <c r="A3" i="9"/>
  <c r="A2" i="9"/>
  <c r="A3" i="8"/>
  <c r="A2" i="8"/>
  <c r="A3" i="7"/>
  <c r="A2" i="7"/>
  <c r="A3" i="6"/>
  <c r="A2" i="6"/>
  <c r="A2" i="3"/>
  <c r="J23" i="24" l="1"/>
  <c r="B3" i="10"/>
  <c r="B3" i="9"/>
  <c r="B3" i="8" l="1"/>
  <c r="B3" i="7" l="1"/>
  <c r="B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sherman</author>
  </authors>
  <commentList>
    <comment ref="A2" authorId="0" shapeId="0" xr:uid="{00000000-0006-0000-1100-000001000000}">
      <text>
        <r>
          <rPr>
            <b/>
            <sz val="9"/>
            <color indexed="81"/>
            <rFont val="Tahoma"/>
            <family val="2"/>
          </rPr>
          <t>sherman:</t>
        </r>
        <r>
          <rPr>
            <sz val="9"/>
            <color indexed="81"/>
            <rFont val="Tahoma"/>
            <family val="2"/>
          </rPr>
          <t xml:space="preserve">
From SH.</t>
        </r>
      </text>
    </comment>
    <comment ref="A3" authorId="0" shapeId="0" xr:uid="{00000000-0006-0000-1100-000002000000}">
      <text>
        <r>
          <rPr>
            <b/>
            <sz val="9"/>
            <color indexed="81"/>
            <rFont val="Tahoma"/>
            <family val="2"/>
          </rPr>
          <t>sherman:</t>
        </r>
        <r>
          <rPr>
            <sz val="9"/>
            <color indexed="81"/>
            <rFont val="Tahoma"/>
            <family val="2"/>
          </rPr>
          <t xml:space="preserve">
https://onlinelibrary.wiley.com/doi/full/10.1002/app5.307</t>
        </r>
      </text>
    </comment>
    <comment ref="A4" authorId="0" shapeId="0" xr:uid="{00000000-0006-0000-1100-000003000000}">
      <text>
        <r>
          <rPr>
            <b/>
            <sz val="9"/>
            <color indexed="81"/>
            <rFont val="Tahoma"/>
            <family val="2"/>
          </rPr>
          <t>sherman:</t>
        </r>
        <r>
          <rPr>
            <sz val="9"/>
            <color indexed="81"/>
            <rFont val="Tahoma"/>
            <family val="2"/>
          </rPr>
          <t xml:space="preserve">
World Bank indicators</t>
        </r>
      </text>
    </comment>
  </commentList>
</comments>
</file>

<file path=xl/sharedStrings.xml><?xml version="1.0" encoding="utf-8"?>
<sst xmlns="http://schemas.openxmlformats.org/spreadsheetml/2006/main" count="2354" uniqueCount="1106">
  <si>
    <t>ADB's Comprehensive Response to the COVID-19 Pandemic policy paper outlining various fund allocations to support sovereign and non-sovereign entities.Value of total package to all entities is USD 20 billion. Breakdown by financing source is provided in Table 1 on pages 3 and 4.</t>
  </si>
  <si>
    <t>https://www.adb.org/sites/default/files/institutional-document/579616/adbs-comprehensive-response-covid-19-pandemic-redacted-version.pdf</t>
  </si>
  <si>
    <t>Link to source</t>
  </si>
  <si>
    <t>Item</t>
  </si>
  <si>
    <t>IMF</t>
  </si>
  <si>
    <t>ANZ</t>
  </si>
  <si>
    <t>KPMG</t>
  </si>
  <si>
    <t>Early access</t>
  </si>
  <si>
    <t>https://www.imf.org/en/Topics/imf-and-covid19/Policy-Responses-to-COVID-19</t>
  </si>
  <si>
    <t>https://home.kpmg/xx/en/home/insights/2020/04/government-response-global-landscape.html</t>
  </si>
  <si>
    <t>https://anzlive.secure.force.com/cms__Main?name=Research&amp;tags=Research%2FEconomics%2FActivity%2FCoronavirus%2FCOVID-19+policies</t>
  </si>
  <si>
    <t>Deferred contributions</t>
  </si>
  <si>
    <t>Yes</t>
  </si>
  <si>
    <t>No</t>
  </si>
  <si>
    <t>CATEGORY</t>
  </si>
  <si>
    <t>AMOUNT/ACTIONS TAKEN</t>
  </si>
  <si>
    <t>NOTES</t>
  </si>
  <si>
    <t>A. BACKGROUND INFORMATION</t>
  </si>
  <si>
    <t>SOURCE</t>
  </si>
  <si>
    <t>Cash Reserves requirement lowered</t>
  </si>
  <si>
    <t>Discount rate lowered</t>
  </si>
  <si>
    <t>Open market purchases</t>
  </si>
  <si>
    <t>Credit line</t>
  </si>
  <si>
    <t>Loan repayment holiday</t>
  </si>
  <si>
    <t>Tax deadline extension</t>
  </si>
  <si>
    <t>Priority processing of GST refunds</t>
  </si>
  <si>
    <t>https://data.worldbank.org/</t>
  </si>
  <si>
    <t>http://www.looppng.com/coronavirus/k56bn-economic-stimulus-package-announced-91169</t>
  </si>
  <si>
    <t>One month extension to 30 April 2020 of the current Salary Wages Tax (SWT) Amnesty that expired on 31 March 2020, under the same terms.
There is the potential to avail of a two month extension on the lodgement of corporate income tax returns and personal income tax returns.
The potential to apply for an installment arrangement for Corporate Income Tax and Personal Income Tax due under the 2020 lodgement program until after 30 June 2020 for taxpayers impacted by the crisis. Taxpayers may obtain agreement to pay the tax due in instalments until the end of 2020.  This does not apply to provisional tax.
Withholding taxes due may be deferred by 21 days.</t>
  </si>
  <si>
    <t>3-month interest and/or principal repayment holidays. 
Prudential requirements will be relaxed to cover the three months’ loan repayment holiday, namely the Prudential Standards relating to asset quality, capital adequacy and loan loss provisioning.</t>
  </si>
  <si>
    <t xml:space="preserve">A reduction in the Kina Facility Rate (KFR) from 5% to 3%. BPNG have also directed the banks to reduce their respective Indicator Lending Rates. </t>
  </si>
  <si>
    <t xml:space="preserve">A reduction in the Cash Reserves Requirement from 10% to 7% to provide additional liquidity to the banking system.
</t>
  </si>
  <si>
    <t xml:space="preserve">BPNG intends to buy back Government securities (either Treasury Bills or Government Inscribed Stock) in an open market quantitative easing programme to provide liquidity to holders of these instruments. This programme is offered for a three-month period and includes flexibility around full or particle redemptions.
New purchases under the Tap Facility will cease throughout the fourteen day SOE period until further notice. </t>
  </si>
  <si>
    <t>https://home.kpmg/xx/en/home/insights/2020/04/papua-new-guinea-government-and-institution-measures-in-response-to-covid.html</t>
  </si>
  <si>
    <t>https://www.imf.org/en/Topics/imf-and-covid19/Policy-Responses-to-COVID-19#P</t>
  </si>
  <si>
    <t xml:space="preserve">Waiver of all late lodgement penalties incurred after 1 April 2020 until 31 December 2020
</t>
  </si>
  <si>
    <t>Access to FNPF granted to workers affected by COVID-19 (initial FJD 1000 for hospitality workers, initial FJD 500 for those affected by physical distancing requirements and those in Lautoka confinement area), govt. will subsidise any shortfall in members balance.</t>
  </si>
  <si>
    <t xml:space="preserve">Reduction in worker and employer contribution from 8% and 10% to 5% respectively
</t>
  </si>
  <si>
    <t>Overnight Policy rate to be maintained at 0.25%</t>
  </si>
  <si>
    <t>https://data.adb.org/dataset/central-government-fiscal-balance-asia-and-pacific-asian-development-outlook</t>
  </si>
  <si>
    <t>https://www.rnz.co.nz/international/pacific-news/412772/Covid-19-fiji-govt-unveils-us400m-stimulus-package</t>
  </si>
  <si>
    <t xml:space="preserve">No  </t>
  </si>
  <si>
    <t xml:space="preserve">https://home.kpmg/xx/en/home/insights/2020/04/fiji-government-and-institution-measures-in-response-to-covid.html </t>
  </si>
  <si>
    <t>Tax cuts</t>
  </si>
  <si>
    <t>https://www.rnz.co.nz/news/pacific/412772/covid-19-fiji-govt-unveils-us400m-stimulus-package</t>
  </si>
  <si>
    <t xml:space="preserve"> https://vcci.vu/update-on-the-vanuatu-governments-economic-financial-stimulus-package/</t>
  </si>
  <si>
    <t>Supporting jobs through the Employment Stabilization Payment, which will reimburse employers up to VT 30,000 per employee on their payroll each month for a period of four months;
Employers will also receive a payment of 15 per cent of the amount they are reimbursed for wages under this payment as an added incentive to keep their staff employed;
Additionally, small to medium businesses with a turnover of less than VT200 million will have access to an additional payment equal to the value of the fees of a full year business license.
To be clear, this is a direct payment in addition to the business license cancellation or refund mentioned as part of the revenue initiatives. Again, this will provide much needed cash flow to struggling businesses.
Price-based subsidies to support productive sector, in particular, copra, kava cocoa and other commodities that provide income to our citizens.</t>
  </si>
  <si>
    <t>Nil</t>
  </si>
  <si>
    <t>https://www.imf.org/en/Topics/imf-and-covid19/Policy-Responses-to-COVID-19#V</t>
  </si>
  <si>
    <t xml:space="preserve">Reserve Bank of Vanuatu cut its policy rate from 2.9% to 2.25% on March 27. </t>
  </si>
  <si>
    <t>12.5 million tala reduction in border taxes through the following measures:
$3.2million or 5% reduction in Import Duty;
$3.6million or 5% reduction in Imported Excises;
$2.4million or 5% reduction in Domestic Excises;
$3.2million or 2% reduction in imported VAGST;</t>
  </si>
  <si>
    <t>2 months extension on income tax due dates and all late fees for late filing to be waived</t>
  </si>
  <si>
    <t xml:space="preserve">Samoan National Provident Fund (SNPF) will impose a six-month moratorium on contributions for employees in the hospitality sector. </t>
  </si>
  <si>
    <t xml:space="preserve">Contributors made unemployed in the Hospitality sector by the COVID19 will be able to withdraw 20% of their contributions. </t>
  </si>
  <si>
    <t>https://samoaglobalnews.com/budget-address-by-samoa-minister-of-finance-on-covid-19-stimulus-package1/</t>
  </si>
  <si>
    <t>Solomon Islands</t>
  </si>
  <si>
    <t>Government to carry 3 months of loan repayments for all small businesses under its Government Guarantee Schemes administered by the Samoa Business Hub;</t>
  </si>
  <si>
    <t xml:space="preserve">Central bank continues to maintain an accommodative monetary policy, will encourage commercial banks to lower interest rates, and other charges. </t>
  </si>
  <si>
    <t>https://www.imf.org/en/Topics/imf-and-covid19/Policy-Responses-to-COVID-19#T</t>
  </si>
  <si>
    <t>https://www.rnz.co.nz/international/pacific-news/415823/details-of-solomon-islands-economic-package-revealed-by-pm</t>
  </si>
  <si>
    <t>https://www.imf.org/en/Topics/imf-and-covid19/Policy-Responses-to-COVID-19#F</t>
  </si>
  <si>
    <t>The central bank is prepared to purchase government bonds in the secondary market.</t>
  </si>
  <si>
    <t>USD 9.1 million in grants and concessional loans for large private companies on top of equity injections into public and private companies.</t>
  </si>
  <si>
    <t>Loan holidays, USD 8.5 million worth of subsidies for copra and cocoa export products.</t>
  </si>
  <si>
    <t>Tax relief for specific sectors, e.g. five-year tax holiday for tourism operators</t>
  </si>
  <si>
    <t>Timor Leste</t>
  </si>
  <si>
    <t>https://www.rnz.co.nz/international/pacific-news/413292/tonga-announces-covid-19-stimulus-package</t>
  </si>
  <si>
    <t>http://finance.gov.to/sites/default/files/2020-04/COVID-19%20Pamphlet.pdf</t>
  </si>
  <si>
    <t>Government has mandated a deferral of retirement contributions to the National Retirement Benefits Fund for up to 3 months</t>
  </si>
  <si>
    <t xml:space="preserve">The Reserve Bank will put over USD 2 million towards Tonga Development Bank loans for mciro businesses and other groups. </t>
  </si>
  <si>
    <t>http://www.reservebank.to/index.php/economic/mr.html</t>
  </si>
  <si>
    <t xml:space="preserve">No </t>
  </si>
  <si>
    <t>Uses USD as its currency</t>
  </si>
  <si>
    <t>http://timor-leste.gov.tl/?p=24159&amp;lang=en&amp;n=1</t>
  </si>
  <si>
    <t>Deferral of tax payments for two months.</t>
  </si>
  <si>
    <t>Universal cash transfer of $100 per household to over 214,000 households for an expected period of 3 months. (https://thediplomat.com/2020/04/rethinking-timor-lestes-Covid-19-state-of-emergency/)
Govt. will subsidise up to 60% of the wage cost of formal sector workers forced to stay home.
Govt. will purchase 3-month emergency supply of rice and subsidise Air North and martime transport to allow the distribution of essential supplies.
Govt. will partially waive electricity bills by $15.
Govt. will provide stipends to over 4,200 Timorese students studying abroad and domestic students will receive internet subsidies to study online.</t>
  </si>
  <si>
    <t>Government intends to launch a credit program characterised by low interest rates, credit guarantees for importers of essential goods, and emergency loans, to avoid bankruptcies, keep businesses open, and support households resolve their financial difficulties. On April 29, the authorities decided to extend access to the Credit Guarantee System to micro-enterprises, increasing the type of economic activities eligible for the program.</t>
  </si>
  <si>
    <t>K2.5 billion raised through issuance of Covid-19 bonds;
funds raised will be used to support health emergency services, security and economic activities.</t>
  </si>
  <si>
    <t>https://www.abc.net.au/news/2020-05-20/australia-financial-support-pacific-governments-cyclone-pandemic/12262328</t>
  </si>
  <si>
    <t>https://www.mof.gov.ws/wp-content/uploads/2019/09/2019-20-English-Fiscal-Strategy.pdf</t>
  </si>
  <si>
    <t>https://data.worldbank.org/topic/external-debt?locations=TL  &amp; 
https://www.mof.gov.tl/wp-content/uploads/2018/11/BB1_Eng1.pdf</t>
  </si>
  <si>
    <t>Actual public debt incurred as of March 2018 was USD 116 million (pg. 70 of Budget book). Timor Leste's 2018 GDP was USD 1,568,611,560 (according to World Bank Indicators)</t>
  </si>
  <si>
    <t>Monetary policy relaxed</t>
  </si>
  <si>
    <t>No (pre-existing overnight policy rate of 0.25%)</t>
  </si>
  <si>
    <t>No (pre-existing monetary policy described as accommodating)</t>
  </si>
  <si>
    <t>Stimulus Package (in million USD)</t>
  </si>
  <si>
    <t>Stimulus per capita (USD per capita)</t>
  </si>
  <si>
    <t>xe.com</t>
  </si>
  <si>
    <t>https://home.kpmg/xx/en/home/insights/2020/04/fiji-government-and-institution-measures-in-response-to-covid.html &amp; 
https://www.imf.org/en/Topics/imf-and-covid19/Policy-Responses-to-COVID-19#F
xe.com</t>
  </si>
  <si>
    <t>https://www.imf.org/en/Topics/imf-and-covid19/Policy-Responses-to-COVID-19#V
xe.com</t>
  </si>
  <si>
    <t>https://www.imf.org/en/Topics/imf-and-covid19/Policy-Responses-to-COVID-19#T
xe.com</t>
  </si>
  <si>
    <t>ADB (in million USD)</t>
  </si>
  <si>
    <t>World Bank (in million USD)</t>
  </si>
  <si>
    <t>Assistance from Australia (in million USD)</t>
  </si>
  <si>
    <t>https://covid19policy.adb.org/policy-measures/FIJ</t>
  </si>
  <si>
    <t>https://covid19policy.adb.org/policy-measures/VAN</t>
  </si>
  <si>
    <t>The figure is an estimate from ADB. It does not appear to put a monetary value on support from countries or organisations to expand its health facilities and restock health equipment for instance (these forms of support are listed under Other support in row 38 below)</t>
  </si>
  <si>
    <t>https://www.worldbank.org/en/news/press-release/2020/04/27/us10m-emergency-world-bank-funding-for-vanuatu</t>
  </si>
  <si>
    <t>USD 10 million in emergency funding through a Development Policy grant.</t>
  </si>
  <si>
    <t>IMF (in million USD)</t>
  </si>
  <si>
    <t>K0.6 billion credit line support to business and individuals.</t>
  </si>
  <si>
    <t>http://www.looppng.com/coronavirus/k56bn-economic-stimulus-package-announced-91169
https://covid19policy.adb.org/policy-measures/PNG</t>
  </si>
  <si>
    <t>Priority will be given for the processing of GST refunds for medical services, hospitality, tourism, manufacturing, air transport and agriculture sectors.</t>
  </si>
  <si>
    <r>
      <rPr>
        <b/>
        <sz val="11"/>
        <color theme="1"/>
        <rFont val="Calibri"/>
        <family val="2"/>
        <scheme val="minor"/>
      </rPr>
      <t xml:space="preserve">Planned first tranche of expenditure </t>
    </r>
    <r>
      <rPr>
        <sz val="11"/>
        <color theme="1"/>
        <rFont val="Calibri"/>
        <family val="2"/>
        <scheme val="minor"/>
      </rPr>
      <t xml:space="preserve">http://www.looppng.com/coronavirus/k56bn-economic-stimulus-package-announced-91169
</t>
    </r>
    <r>
      <rPr>
        <b/>
        <sz val="11"/>
        <color theme="1"/>
        <rFont val="Calibri"/>
        <family val="2"/>
        <scheme val="minor"/>
      </rPr>
      <t>Revised first tranche of expenditure</t>
    </r>
    <r>
      <rPr>
        <sz val="11"/>
        <color theme="1"/>
        <rFont val="Calibri"/>
        <family val="2"/>
        <scheme val="minor"/>
      </rPr>
      <t xml:space="preserve">
https://www.businessadvantagepng.com/papua-new-guinea-treasurer-details-k600-million-stimulus-package/</t>
    </r>
  </si>
  <si>
    <t>https://www.imf.org/en/Topics/imf-and-covid19/Policy-Responses-to-COVID-19#V &amp; 
https://covid19policy.adb.org/policy-measures/VAN</t>
  </si>
  <si>
    <t xml:space="preserve">Solomon Islands has leveraged technology to streamline the process of issuing handouts. As of 06 May 2020, 82% of applications for financial support have been successfully met. 
The National Provident Fund has made funds available to its members that are temporarily laid off or returned home; </t>
  </si>
  <si>
    <t>https://www.findevgateway.org/training-events/unlocking-pension-fund-savings-covid-19-relief  &amp; 
https://covid19policy.adb.org/policy-measures/SOL</t>
  </si>
  <si>
    <t>Commercial banks will reduce or suspend loan repayments, restructure loans, consider lowering loan interest rates on a case-by-case basis, and provide access to short-term funding.
Govt. announced a 3-month moratorium on Government Development Loans and TC Gita Recovery Loan Fund  (https://www.imf.org/en/Topics/imf-and-Covid19/Policy-Responses-to-Covid-19#T)</t>
  </si>
  <si>
    <t>https://www.rnz.co.nz/international/pacific-news/413292/tonga-announces-covid-19-stimulus-package
https://www.imf.org/en/Topics/imf-and-Covid19/Policy-Responses-to-Covid-19#T</t>
  </si>
  <si>
    <t>https://covid19policy.adb.org/policy-measures/TON</t>
  </si>
  <si>
    <r>
      <rPr>
        <b/>
        <sz val="10"/>
        <color theme="1"/>
        <rFont val="Calibri"/>
        <family val="2"/>
        <scheme val="minor"/>
      </rPr>
      <t>FUNDING SOURCES OF STIMULUS PACKAGE</t>
    </r>
    <r>
      <rPr>
        <sz val="10"/>
        <color theme="1"/>
        <rFont val="Calibri"/>
        <family val="2"/>
        <scheme val="minor"/>
      </rPr>
      <t xml:space="preserve">
18.2 million tala financed by Government Corporations
9.8 million comprises revenues to be foregone due to waivers and duty concessions
38.3 million tala under the Second Supplementary Budget Estimates</t>
    </r>
  </si>
  <si>
    <t>Breakdown of stimulus package:
Approximately 33% of funds (USD 8.5 million) will be channelled to the health sector,
The remaining USD 17 million will be used to support other sectors such as the tourism, agriculture, transport, education and security sectors.</t>
  </si>
  <si>
    <t>http://timor-leste.gov.tl/?p=24159&amp;lang=en&amp;n=1
https://covid19policy.adb.org/policy-measures/TIM</t>
  </si>
  <si>
    <t>USD 10 million in quick financial support for the government to cover the cost of running the country (conversion based on 05 June 2020 exchange rate of 0.694187 USD/AUD).</t>
  </si>
  <si>
    <t xml:space="preserve">Almost USD1 million in support from the United Nations Development Group from the UN COVID-19 Response &amp; Recover fund; 
USD1.1 million in health assistance to Timor-Leste to help prepare laboratory systems, activate case-finding, support technical experts, among others, from the U.S. Agency for International Development (USAID). </t>
  </si>
  <si>
    <t xml:space="preserve">No breakdown provided. 
USD 250 million transferred from its Petroleum fund, with USD 150 million being set aside as special Covid-19 funds for expenses to tackle Covid-19.
The remaining USD 100 million will be used to design a credit program comprising loans at reduced interest rates, credit guarantees for importers of essential goods, and emergency loans, to avoid bankruptcies, keep businesses open, and support households resolve their financial difficulties
Other uses of the stimulus package: 
Cash transfers to over 214,000 households, worth USD100 per month per household, lasting for 3 months; wage subsidies (60% of the wage cost) for formal sector employees (30,000 workers);  purchase of 3-month emergency supply of rice; maintaining transportation channels open for essential goods and medical/emergency goods; waiving the payment of electricity (USD15 per month), water bills, and social security contributions; (v) providing stipends to over 4,200 Timorese students studying overseas; </t>
  </si>
  <si>
    <t>https://covid19policy.adb.org/policy-measures/TIM</t>
  </si>
  <si>
    <t>On May 11, the authorities introduced a moratorium on the fulfillment of capital and interest obligations arising from credit agreements, which delayed maturities by up to three months and reduced debtors’ interest payment obligation to 40% of the original amount with the remaining 60% financed by the government.</t>
  </si>
  <si>
    <t>https://covid19policy.adb.org/policy-measures</t>
  </si>
  <si>
    <t>ADB's list of policy measures adopted by member countries in response to COVID-19</t>
  </si>
  <si>
    <t>https://www.imf.org/en/News/Articles/2020/05/27/na-05272020-pacific-islands-threatened-by-covid-19</t>
  </si>
  <si>
    <t>IMF analysis of the economic impact of COVID-19 on Pacific Island countries</t>
  </si>
  <si>
    <t>https://www.lowyinstitute.org/the-interpreter/covid-19-and-development-banks-asia</t>
  </si>
  <si>
    <t>Lowy Institute's analysis on the contributions of development banks during COVID-19</t>
  </si>
  <si>
    <t>Stimulus Package (% GDP)</t>
  </si>
  <si>
    <t>External assistance as % GDP</t>
  </si>
  <si>
    <t>Stimulus Package (in million LCU)</t>
  </si>
  <si>
    <t>NA</t>
  </si>
  <si>
    <t xml:space="preserve">Stimulus package includes expenditure (see below) and estimated cost of early access to superannuation (see below).
</t>
  </si>
  <si>
    <t>Vanuatu National Provident Fund (VNPF) offered VUV 800 million of Hardship Loans, an interest-free withdrawal from a member's account for 6 months of up to VT 100,000 (approx. USD 826), after which the member either chooses a repayment plan with interest or permanently withdraws the funds with a penalty.
According to ADB estimated cost is Vut 1.5 billion.
After six months, members can choose to either subscribe to a repayment plan with interest or pay a penalty fee and not repay.</t>
  </si>
  <si>
    <t>https://home.kpmg/xx/en/home/insights/2020/04/fiji-government-and-institution-measures-in-response-to-covid.html
http://www.economy.gov.fj/images/Budget/budgetdocuments/supplements/SUPPLEMENT-TO-THE-COVID-19-RESPONSE-BUDGET-ADDRESS.pdf</t>
  </si>
  <si>
    <t>Total value of assistance: FJD 150 million.
300 percent tax deduction for donations to the Government’s COVID-19 donor fund.
300 percent tax deduction for wages and salaries paid to employees who are selfquarantined and approved by the Ministry of Health. Family Care Leave to be utilised first.
VAT exemption on imports for a range of medical supplies and equipment, effective immediately.
Customs Tariff Act
Reduction in fiscal duty on essential medical supplies to zero percent.
Gradual increase in fiscal duty on the importation of diesel and petrol by 20 cents per litre.
Stamp duty
Removal of $10 stamp duty on export air waybills.
Reduction of stamp duty for Fiji residents on mortgages from 1.75 percent to zero percent.
Reduction of stamp duty for foreign nationals on mortgages from 5 percent to zero percent.</t>
  </si>
  <si>
    <t>Pages 10,11 and 12 of Budget supplement: 
Estimates of FJD 1 billion stimulus package breakdown (the sum of the figures below adds to FJD 1.08 billion)
A total of FJD 210 million to cover the cost of sick leave for workers who tested positive, reimbursement of salary paid by employers to workers under quarantine, financial assistance for informal sector workers who test positive, assistance for those affected by the lockdown and travel restriction, workers who lost their jobs or who are on reduced hours in tourism and hospitality sector.
FJD 80 million - in the form of reduced employee contributions
FJD 130 million - in the form of reduced employer contributions
FJD 40 million - for the Ministry of Health and Medical services
FJD 10 million - in the form of Tertiary Education Loans repayment relief.
FJD 400 million - in the form of loan repayment holidays
FJD 60 million - delivered to the Natural Disaster Rehabilitation Facility.
FJD 150 million - in the form assistance through  taxation and customs policy changes</t>
  </si>
  <si>
    <t>Total estimated value of assistance: FJD 400 million
Loan repayments have been deferred for six months. These include mortgages, personal loans, hire purchase for those who lost their jobs or are on reduced pay.</t>
  </si>
  <si>
    <r>
      <t>K5.7 billion stimulus package divided by 05 June 2020 exchange rate (3.46 kina per USD)</t>
    </r>
    <r>
      <rPr>
        <sz val="12"/>
        <color rgb="FF00B0F0"/>
        <rFont val="Calibri"/>
        <family val="2"/>
        <scheme val="minor"/>
      </rPr>
      <t xml:space="preserve">
</t>
    </r>
    <r>
      <rPr>
        <u/>
        <sz val="12"/>
        <color theme="1"/>
        <rFont val="Calibri"/>
        <family val="2"/>
        <scheme val="minor"/>
      </rPr>
      <t>Breakdown of stimulus package</t>
    </r>
    <r>
      <rPr>
        <sz val="12"/>
        <color theme="1"/>
        <rFont val="Calibri"/>
        <family val="2"/>
        <scheme val="minor"/>
      </rPr>
      <t xml:space="preserve">
K0.6 billion credit line for businesses and individuals
K0.5 billion support from superannuation savings
A total of K3.1 billion for the health and security sectors and to support the economy: 
  -  K0.6 billion for health, security sectors and the economy
  -  K2.5 billion raised from COVID-19 Treasury bond to fund health emergency services, security, and economic activities.
K1.5 billion from IMF, World Bank and Asian Development Bank to support the health sector and the economy (mentioned in the link as 'extra friendly foreign support'; there is no indication if external assistance below forms part of this amount, or if this counts as support in terms technical assistance or PPE for example). 
</t>
    </r>
    <r>
      <rPr>
        <u/>
        <sz val="12"/>
        <color theme="1"/>
        <rFont val="Calibri"/>
        <family val="2"/>
        <scheme val="minor"/>
      </rPr>
      <t xml:space="preserve">
</t>
    </r>
    <r>
      <rPr>
        <sz val="12"/>
        <color theme="1"/>
        <rFont val="Calibri"/>
        <family val="2"/>
        <scheme val="minor"/>
      </rPr>
      <t xml:space="preserve">
</t>
    </r>
  </si>
  <si>
    <t>Expenditure (in million USD)</t>
  </si>
  <si>
    <t>Expenditure per capita (USD per capita)</t>
  </si>
  <si>
    <t>B. ECONOMIC IMPACT</t>
  </si>
  <si>
    <t>C. STIMULUS PACKAGE - OVERALL SIZE</t>
  </si>
  <si>
    <t>D. FISCAL POLICY</t>
  </si>
  <si>
    <t>D1. TAX</t>
  </si>
  <si>
    <t>D3. FINANCING</t>
  </si>
  <si>
    <t>E.  SUPERANNUATION MEASURES</t>
  </si>
  <si>
    <t>F. BANK LENDING</t>
  </si>
  <si>
    <t>G. MONETARY POLICY</t>
  </si>
  <si>
    <t>Fiscal balance (%GDP)</t>
  </si>
  <si>
    <t>https://www.treasury.gov.pg/html/speeches/files/2020/Ministerial%20Statement%20on%20COVID-19.pdf</t>
  </si>
  <si>
    <t>Refer to page 6 of document where the estimated fall in revenue is K2000 million.</t>
  </si>
  <si>
    <t>https://www.treasury.gov.pg/html/national_budget/files/2020/2020%20Budget%20Speech.pdf</t>
  </si>
  <si>
    <t>Page 2 of 2020 Budget, Volume 1</t>
  </si>
  <si>
    <t>http://www.economy.gov.fj/images/Budget/budgetdocuments/supplements/SUPPLEMENT-TO-THE-COVID-19-RESPONSE-BUDGET-ADDRESS.pdf</t>
  </si>
  <si>
    <t>https://www.rbf.gov.fj/Publications-(1)/Press-Release-No-07-Revised-Growth-Projections-f.pdf</t>
  </si>
  <si>
    <t>Page 2 of document indicates an estimate of 3% GDP growth in 2020.</t>
  </si>
  <si>
    <t xml:space="preserve">Page 16, point 4.22, Table 3 of the document. </t>
  </si>
  <si>
    <t>Additional borrowing (in million LCU)</t>
  </si>
  <si>
    <t>Projected deficit (in million LCU)</t>
  </si>
  <si>
    <t>https://doft.gov.vu/index.php/covid-19</t>
  </si>
  <si>
    <t>https://doft.gov.vu/images/2020/Budget/2020_Volume_1__2_Budget_Book_English.pdf</t>
  </si>
  <si>
    <t>https://www.mof.gov.ws/wp-content/uploads/2019/09/Approved-Budget-FY19-20-English.pdf</t>
  </si>
  <si>
    <t>https://www.samoagovt.ws/2020/04/budget-address-on-the-second-supplementary-budget-estimates-2019-20/</t>
  </si>
  <si>
    <t>http://www.mof.gov.sb/Libraries/2020_Budget_Documents/2020_Financial_Policy_Objectives_and_Strategies_Volume_1.sflb.ashx</t>
  </si>
  <si>
    <t>http://www.cbsi.com.sb/wp-content/uploads/2020/03/CBSI-PR-05.2020_-Impact-of-Corona-Virus-on-SI-Economy.pdf</t>
  </si>
  <si>
    <t>Page 1 of press statement</t>
  </si>
  <si>
    <t>http://www.cbsi.com.sb/wp-content/uploads/2020/04/Q4-2019-Report.pdf</t>
  </si>
  <si>
    <t>Page 4 of Dec 2019 quarterly report puts the government debt to GDP level at 11%.</t>
  </si>
  <si>
    <t>https://solomons.gov.sb/solomon-islands-government-economic-stimulus-package-to-address-the-impacts-of-the-covid-19-pandemic/</t>
  </si>
  <si>
    <t>Page 12, Table 3.0 puts the total consolidated fiscal gap at SBD 429.5 million, after including the stimulus package. 
This gap is financed by SBD 606 million worth of budget support and borrowing - i.e. SBD 486 million in the form of budget support (SBD 135.78 million in the form of external assistance and the rest presumably from government reserves, according to Page 4, of Stimulus package booklet) and SBD 120 million from domestic bond issuance.</t>
  </si>
  <si>
    <t>Estimated VUV 1.5 billion - in the form of VNPF loans and early access withdrawals.
March 27, the Vanuatu National Provident Fund (VNPF) offered VUV800 million worth of Hardship Loans, an interest-free withdrawal from a member’s account for 6 months of up to VUV100,000, after which the member either choses a repayment plan with interest or permanently withdraws the funds with a penalty, to approximately 15,000 members; (ii) April 15, It was estimated that about VUV1.2 billion (about USD10.4 million) would be released to up to 20,000 members; (iii) By the time the Hardship Loan facility closed on May 2, it was estimated that the VNPF had paid out VUV1.5 billion in total. 
VUV 4.4 billion - Fiscal package planned by government to support health and non-health sectors.</t>
  </si>
  <si>
    <t xml:space="preserve">https://solomons.gov.sb/solomon-islands-government-economic-stimulus-package-to-address-the-impacts-of-the-covid-19-pandemic/
</t>
  </si>
  <si>
    <t>http://www.finance.gov.to/sites/default/files/2020-02/bud_stmt_1920_en.pdf</t>
  </si>
  <si>
    <t>Based on Total public debt ($million) graph on page 45 of Budget Statement. Figure is read off the chart for the 2019/2020e period</t>
  </si>
  <si>
    <t>From page 6 of 2020 budget statement, figure read off the Real GDP growth chart for 19/20f.</t>
  </si>
  <si>
    <t>http://www.tonga-broadcasting.net/?p=17860</t>
  </si>
  <si>
    <t>https://www.mof.gov.tl/wp-content/uploads/2019/10/BB1-English-V4-Formating_Final.pdf</t>
  </si>
  <si>
    <t>https://openknowledge.worldbank.org/handle/10986/33477</t>
  </si>
  <si>
    <t xml:space="preserve">From Figure 2, page 207. </t>
  </si>
  <si>
    <t>https://www.cbs.gov.ws/index.php/media/latest-news/economic-consequences-of-covid-19-the-outlook-so-far/</t>
  </si>
  <si>
    <t xml:space="preserve">Central bank will maintain accommodative policy - unclear what this entails </t>
  </si>
  <si>
    <t>World Bank East Asia and Pacific Economic Update, April 2020 : East Asia and Pacific in the Time of COVID-19</t>
  </si>
  <si>
    <t xml:space="preserve">https://www.worldbank.org/en/news/press-release/2020/04/14/world-bank-commits-to-papua-new-guineas-fight-against-covid-19
</t>
  </si>
  <si>
    <t>https://www.imf.org/en/News/Articles/2020/06/09/pr20238-papa-new-guinea-imf-executive-board-approves-disbursement-to-address-the-covid-19-pandemic</t>
  </si>
  <si>
    <t xml:space="preserve"> IMF disbursement to address urgent balance of payments needs caused by COVID-19.</t>
  </si>
  <si>
    <t xml:space="preserve">Part of the USD 14 billion World Bank global Covid-19 response package, this emergency project will fund rapid health support for PNG. It is focused on protecting health workers and others contributing to the response effort and aims to help PNG scale up its testing efforts.
</t>
  </si>
  <si>
    <t xml:space="preserve">Net Revenue from Second Supplementary budget = 36.3 million tala 
Net Expenditure from Second Supplementary Budget = 44.4 million tala </t>
  </si>
  <si>
    <t>Notes</t>
  </si>
  <si>
    <t>NA: Not available</t>
  </si>
  <si>
    <t>Local currency unit (LCU)</t>
  </si>
  <si>
    <t>Fijian dollar</t>
  </si>
  <si>
    <t>Samoan tala</t>
  </si>
  <si>
    <t xml:space="preserve">Vanuatu vatu </t>
  </si>
  <si>
    <t>Solomon Islands dollar</t>
  </si>
  <si>
    <t>Tonga pa'anga</t>
  </si>
  <si>
    <t>US dollar</t>
  </si>
  <si>
    <t>Papua New Guinean kina</t>
  </si>
  <si>
    <t>Tax and duty relief to be provided by the government. 
The Ministry of Customs and Revenue Chief Executive Kelemete Vahe said every tax imposed on goods and services within Tonga would be deferred until 30 June, except for PAYEE.
Mr Vahe said goods imported to Tonga in order to revive the tourism sector as well as fisheries and agriculture would also be duty free until 30 June.</t>
  </si>
  <si>
    <t>https://corporate.southpacificislands.travel/tonga-announces-covid-19-stimulus-package/</t>
  </si>
  <si>
    <t>Estimated original surplus for 2020 = TOP 10.2 million
Estimated decrease in revenue = TOP 40 million
Stimulus package = TOP 60 million</t>
  </si>
  <si>
    <t>USD 5.1 million funding made available through the CatDDO (Catastrophe-Deferred Drawdown Option), followed by an additional USD 3.4 million delivered through a dedicated emergency health project.</t>
  </si>
  <si>
    <t>https://www.worldbank.org/en/news/press-release/2020/04/24/world-bank-provides-additional-3-4-million-for-samoas-fight-against-covid-19</t>
  </si>
  <si>
    <t>https://www.cbs.gov.ws/index.php/media/press-releases/
Second source: 
https://covid19policy.adb.org/policy-measures/SAM</t>
  </si>
  <si>
    <t>27 March 2020 press release mentions that Samoa is seeking financial assistance from IMF to bolster its foreign reserves.
On April, 24, The IMF approved the disbursement of USD22.03 million in emergency financing under the Rapid Credit Facility to help Samoa address urgent balance of payments needs created by COVID-19</t>
  </si>
  <si>
    <t>http://en.people.cn/n3/2020/0427/c90000-9684479.html</t>
  </si>
  <si>
    <t>https://www.imf.org/en/Topics/imf-and-covid19/COVID-Lending-Tracker#APD</t>
  </si>
  <si>
    <t>IMF's tracker of countries receiving Emergency Financing and Debt Relief from it 
(link to countries in the Asia and Pacific region provided)</t>
  </si>
  <si>
    <t>http://www.cbsi.com.sb/press-release-cbsi-eases-cash-reserves-requirement/</t>
  </si>
  <si>
    <t>As of 15 June 2020, cash reserves requirement was reduced from 7.5% to 5%</t>
  </si>
  <si>
    <t>https://www.adb.org/countries/papua-new-guinea/economy</t>
  </si>
  <si>
    <t>https://www.adb.org/countries/timor-leste/economy</t>
  </si>
  <si>
    <t>Growth forecast for 2020 from the ADB, as of June 2020.</t>
  </si>
  <si>
    <t>https://www.adb.org/countries/tonga/main</t>
  </si>
  <si>
    <t>2020 GDP forecast by ADB, as of June 2020.</t>
  </si>
  <si>
    <t>https://www.adb.org/countries/solomon-islands/main</t>
  </si>
  <si>
    <t>2020 GDP forecast by the ADB as of June 2020.</t>
  </si>
  <si>
    <t>2020 GDP forecast for PNG by the ADB, as of June 2020.</t>
  </si>
  <si>
    <t>GDP (2019) - in 2019 million USD</t>
  </si>
  <si>
    <t>Population (2019)</t>
  </si>
  <si>
    <t>GDP per capita (2019)</t>
  </si>
  <si>
    <t>Formula: 
Debt (% of GDP), post-COVID 
= (Debt level pre-COVID + Additional financing) / (GDP post-COVID)</t>
  </si>
  <si>
    <t>Own working</t>
  </si>
  <si>
    <t>Total estimated value of assistance: FJD 160 million.
RBF will make USD 60 million worth of concessional loans to commercial banks. Businesses affected by COVID-19 can access the funds directly through commercial banks, licensed credit institutions or FDB (Fiji Development Bank) at a maximum interest rate of 5%. Loans will be limited to a maximum of FJD 0.5 million per business and allocated on a first-in basis.
The Reserve Bank of Fiji raised its Import Substitution and Export Finance Facility by FJD100 million to provide credit to exporters, large scale commercial agricultural farmers, public transportation and renewable energy businesses at concessional rates; No amount/estimate: Announced a concessional loans initiative for MSMEs impacted by COVID-19.</t>
  </si>
  <si>
    <r>
      <t xml:space="preserve">(1) Estimated original surplus for 2020 = TOP 10.2 million (from table 2, page 10 of budget statement)
(2) Estimated decrease in revenue = TOP 40 million
(3) Stimulus package = TOP 60 million
(4) Total external assistance = USD 26 million = TOP 59.8 million
Therefore estimated additional borrowing = (1) - (2) - (3) + (4) = </t>
    </r>
    <r>
      <rPr>
        <b/>
        <sz val="10"/>
        <color theme="1"/>
        <rFont val="Calibri"/>
        <family val="2"/>
        <scheme val="minor"/>
      </rPr>
      <t>TOP 30 million</t>
    </r>
    <r>
      <rPr>
        <sz val="10"/>
        <color theme="1"/>
        <rFont val="Calibri"/>
        <family val="2"/>
        <scheme val="minor"/>
      </rPr>
      <t xml:space="preserve"> </t>
    </r>
  </si>
  <si>
    <t>Fiscal year</t>
  </si>
  <si>
    <t>http://www.parliament.gov.fj/wp-content/uploads/2020/07/Economic-and-Fiscal-Update-Supplement-to-the-2020-2021-Budget-Address.pdf</t>
  </si>
  <si>
    <t>PGK has depreciated against USD by 1.72%.</t>
  </si>
  <si>
    <t>Tighter exchange controls; 
Fijian dollar has appreciated against USD by 4.2%.</t>
  </si>
  <si>
    <t>Maintain exchange controls; 
Vatu has appreciated against USD by 4.3%.</t>
  </si>
  <si>
    <t>No measures; 
Tala has appreciated against USD by 4.6%.</t>
  </si>
  <si>
    <t>No measures; 
Solomon Islands dollar has appreciated against USD by 1.1%.</t>
  </si>
  <si>
    <t>The exchange rate remains pegged against a basket of currencies (within a ±5 percent monthly adjustment limit). No new exchange restrictions have been announced. International reserves declined to 6.8 months of imports at end-March 2020.
TOP/USD was 2.39 on 1 Mar 2020 and 2.27 on 22July 2020, a  5.3% appreciation of TOP against USD. [ Appreciation = (1/2.27 - 1/2.39)/(1/2.39) ]</t>
  </si>
  <si>
    <t>No measures; 
Tongan dollar has appreciated against USD by 5.3%.</t>
  </si>
  <si>
    <t>Currency depreciated 1.45% from 3.41 PGK/USD on 1 March to 3.47 PGK/USD on 22 July 2020. [Depreciation = (1/3.41-1/3.47)/(1/3.41) ]</t>
  </si>
  <si>
    <t>RBF has tightened exchange controls on 3 Apr to ensure that adequate foreign reserves can be maintained. Current import cover is 5.6 months of imports; foreign exchange reserves stood at USD 968 million as of 31 Mar 2020.
Fiji’s currency is pegged to a basket of currencies amid limited capital mobility. 
FJD/USD exchange rate was was 2.22 on 1 Mar and 2.13 on 22 July 2020, a 4.2% appreciation of the FJD against the USD. [ Appreciation = (1/2.13- 1/2.22)/(1/2.22) ]</t>
  </si>
  <si>
    <t>Maintaining official foreign exchange reserves above a minimum threshold of 4 months of import cover
VUV/USD was 119.0476 on 1 Mar 2020 and 114.13 on 22 July 2020, a 4.3% appreciated of VUV against the USD. [ Appreciation = (1/117.03 - 1/119.0476)/(1/119.0476) ]</t>
  </si>
  <si>
    <t>WST/USD was 2.74 on 1 Mar 2020 and 2.62 on 22 July 2020, a 4.6% appreciation of the WST against the USD. [Appreciation = (1/2.62 - 1/2.74)/ (1/2.74) ]</t>
  </si>
  <si>
    <t>SBD/USD exchange rate was 8.25 on 1 Mar 2020 and 8.16 on 22 July 2020, a 1.1% appreciation of the SBD against the USD. [ Appreciation = (1/8.16-1/8.25) / (1/8.25) ]</t>
  </si>
  <si>
    <t>August to July</t>
  </si>
  <si>
    <t>January to December</t>
  </si>
  <si>
    <t>June to May</t>
  </si>
  <si>
    <t>https://www.cia.gov/library/publications/the-world-factbook/geos/print_ws.html</t>
  </si>
  <si>
    <t>https://www.cia.gov/library/publications/the-world-factbook/geos/bp.html</t>
  </si>
  <si>
    <t>July to June</t>
  </si>
  <si>
    <t>https://www.cia.gov/library/publications/the-world-factbook/geos/tn.html</t>
  </si>
  <si>
    <t>https://www.cia.gov/library/publications/the-world-factbook/geos/tt.html</t>
  </si>
  <si>
    <t>http://timor-leste.gov.tl/?p=23385&amp;lang=en</t>
  </si>
  <si>
    <t>http://www.finance.gov.to/sites/default/files/2020-07/Budget%20Statement%202020-21_20Apr%20-postLA_TC%20Harold_22.07.20%209am.pdf</t>
  </si>
  <si>
    <t>https://www.mof.gov.ws/wp-content/uploads/2020/07/Approved-Budget-20-21-Eng-Final-for-Printing.pdf</t>
  </si>
  <si>
    <t>Page I</t>
  </si>
  <si>
    <t>Projected revenue - pre-COVID (in million LCU)</t>
  </si>
  <si>
    <t>Projected revenue - post-COVID (in million LCU)</t>
  </si>
  <si>
    <t>Projected growth - pre-COVID</t>
  </si>
  <si>
    <t>Projected growth - post-COVID</t>
  </si>
  <si>
    <t>Unemployment/cash benefits</t>
  </si>
  <si>
    <t>USD 0.3 million in support from the United Nations Development Group from the UN COVID-19 Response &amp; Recover fund; 
Other support
(i) With help from Australia, The PRC, New Zealand, UNICEF, WHO, other NGOs/CSOs and some local businesses, Vanuatu is expanding health facilities, restocking personal protective equipment and supplies, and further training healthcare workers, especially in Port Vila; and spending on community education and awareness; (ii) With the assistance of Australia, France and New Zealand, COVID-19 tests are analyzed in the French special collectivity of New Caledonia as needed; 
A further USD 0.2 million in grants from China
US$ 6.67 million from the EU
 With the new EU support, Civil Society Organisations will promote sustainable production of safe and nutritious foods for vulnerable communities.
Their action will complement the Ministry of Agriculture’s Overarching Productive Sector Policy, which is supported by the EU Vanuatu Value Chain (VaVaC) Budget Support program of $28,177,891.
(Note: also to support responses to TC Harold).
US$ 2,744,835 from Japan to strengthen health and medical systems
US$ 182,442 from NZ to support the COVID response education cluster to supply hygiene kits to schools
US$1.84 million from NZ to support the COVID-19 economic package</t>
  </si>
  <si>
    <t>China providing US$ 0.25 million in financial aid to Samoa.</t>
  </si>
  <si>
    <t>USD 9.5 million from the Rapid Credit Facility (RCF)
USD 19 million from the Rapid Financing Instrument (RFI) 
USD 0.816 million debt forgiveness via Catastrophe Containment and Relief Trust</t>
  </si>
  <si>
    <t>https://www.miragenews.com/new-us-15-million-operation-to-build-sustainable-growth-in-solomon-islands/</t>
  </si>
  <si>
    <t>USD 6m - Contingent Disaster Fund
USD 0.47m - Asian Pacific Disaster Response Fund
USD 12.2m - The funding is to help limit the adverse social and economic impacts stemming from the pandemic. It will also help build on previous policy-based operations to strengthen Tonga's macro-economic resilience.</t>
  </si>
  <si>
    <t>USD 3.0998 million in general budget support from NZ
USD 0.25 million from China</t>
  </si>
  <si>
    <t>On May 12, USD8.4 million funding from the World Bank to strengthen resilience and fight against the COVID-19 Pandemic; 
On June 5, USD2.89 million equivalent grant was provided to Tonga to improve the climate resilience of the transport sector, and in the event of an Eligible Crisis or Emergency, to provide an immediate response to the Eligible Crisis or Emergency. The financing provided under this project will support urgent needs created by the COVID-19 crisis. 
USD 0.102 million from World Bank - A one-off payment of $88 to 1,162 households - assessed as being the most in need.
Disbursed via the Skills and Employment for Tongans (SET) Project</t>
  </si>
  <si>
    <t>H. EXCHANGE RATE/RESERVES POLICY (depreciation/appreciation between 1 March 2020 and 22 July 2020)</t>
  </si>
  <si>
    <t>Expenditure (% GDP)</t>
  </si>
  <si>
    <t>Assistance from other countries and organisations (in million USD)</t>
  </si>
  <si>
    <t>Country</t>
  </si>
  <si>
    <t>PNG</t>
  </si>
  <si>
    <t>Fiji</t>
  </si>
  <si>
    <t>Vanuatu</t>
  </si>
  <si>
    <t>Tonga</t>
  </si>
  <si>
    <t>External assistance (% of GDP)</t>
  </si>
  <si>
    <t>Expenditure (% of GDP)</t>
  </si>
  <si>
    <t>Samoa</t>
  </si>
  <si>
    <t>Employees who had been laid off from work due to the Covid-19 situation were eligible to receive an allowance</t>
  </si>
  <si>
    <t>Based on LCU/USD exchange rate</t>
  </si>
  <si>
    <t>Based on Additional expenditure divided by 2019 GDP</t>
  </si>
  <si>
    <t>Based on Additional expenditure divided by 2019 population</t>
  </si>
  <si>
    <t>CEO of Finance Balwyn Fa’otusia and her team elaborate on the stimulus package and how it is allocated to the 9 clusters.
“22.4 million pa’anga is allocated for the economic and social recovery cluster aiming to aid the affected businesses, employee support and the community livelihood. 3.8 million pa’anga is for the education cluster, 300thousand pa’anga is for the emergency telecommunication cluster,1 million for the essential services, 3.2 million pa’anga for the food security, 22.5 million for the Wash Cluster, 1.6 million pa’anga for the logistics and coordination, 1.3 million pa’anga for the safety and protection cluster and 4 million pa’anga for the shelter cluster. “</t>
  </si>
  <si>
    <t>Australia</t>
  </si>
  <si>
    <t>AUD 20.5 million quick financial support for the government to cover the cost of running the country (conversion based on the USD/AUD exchange rate on 22 July 2020: 0.715) + US$ 6,291,420  for provincial health authorities (including in ABG) but not clear if it is part of the amount above that’s been redirected from the aid program. To support surveillance, clinical management and infection prevention/control.</t>
  </si>
  <si>
    <t>Exchange rate (22July 2020) - LCU per USD</t>
  </si>
  <si>
    <t>Rate as of 22 July 2020</t>
  </si>
  <si>
    <t>AUD 13 million in quick financial support for the government to cover the cost of running the country (conversion based on USD/AUD exchange rate on 22 July 2020: 0.715) &amp; 
VT 350 million from Australia to Vanuatu to support its COVID-19 response (VUV/AUD exchange rate on 22 July 2020: 81.5)</t>
  </si>
  <si>
    <t>AUD 10.5 million in quick financial support for the government to cover the cost of running the country (conversion based on 22 July 2020 exchange rate of 0.715 USD/AUD)</t>
  </si>
  <si>
    <t>AUD 13 million in quick financial support for the government to cover the cost of running the country (conversion based on 22 July 2020 exchange rate of 0.715 USD/AUD)</t>
  </si>
  <si>
    <t>AUD 10.5 million in quick financial support for the government to cover the cost of running the country (conversion based on 22 July 2020 exchange rate of 0.715 USD/AUD).
AUD 1.29 million - "Non-government organisations including MORDI Tonga Trust, Live and Learn Tonga, and Caritas have all received funding.
They will deliver projects to both protect families against COVID-19, and respond to the impacts of Tropical Cyclone Harold.
The funded activities include installation of water tanks in homes and schools, and teaching hand hygiene.
Organisations will provide support for agricultural development to improve food production and generate income, as well as counselling to people who are suffering in the crisis."</t>
  </si>
  <si>
    <t>AUD 10.5 million in quick financial support from Australia. AUD/FJD Exchange rate as of 22 July 2020: 0.715.</t>
  </si>
  <si>
    <t>Unemployment benefits form part of the stimulus package.</t>
  </si>
  <si>
    <t>Page 9 of document</t>
  </si>
  <si>
    <t>https://covid19policy.adb.org/policy-measures/PNG
https://www.adb.org/news/adb-announces-more-13-million-grants-help-pacific-combat-covid-19</t>
  </si>
  <si>
    <t>https://covid19policy.adb.org/policy-measures/SAM
https://www.adb.org/news/adb-provides-20-million-grant-help-samoa-respond-covid-19
https://www.adb.org/news/adb-announces-more-13-million-grants-help-pacific-combat-covid-19</t>
  </si>
  <si>
    <t>(i) April, USD0.71 million - TA 9950-REG: Regional Support to Address the Outbreak of COVID-19 and Potential Outbreaks of Other Communicable Diseases; (ii) April 15, USD2.9 million - REG: Pacific Disaster Resilience Program (Phase 2) under ADF; (iii) April 15, USD0.02 million TASF - REG: Strengthening Social Protection in the Pacific [update]; (iv) April 24, USD0.13 million TASF - REG: Developing the Pacific Health Sector (Additional Financing); (v) As of June 8, USD0.08 million (Regular OCR) - Trade Finance Program (Loan) [update]
ADB announced on 30 July 2020 that it had approved grant of USD 20 million from its Countercyclical Support Facility to upgrade Samoa’s health sector and support the government’s economic stimulus program. 
ADB announced on 30 July 2020 that it will provide USD 1.5 million to Samoa from the Asia Disaster Response Fund to finance Samoa's response to COVID-19.</t>
  </si>
  <si>
    <t>(i) April 24, USD0.13 million allocated by the ADB as additional funding to Vanuatu under the Regional Project on Developing the Pacific Health Sector; (ii) USD0.71 million allocation for TA9950-REG: Regional Support to Address the Outbreak of Coronavirus Disease 2019 and Potential Outbreaks of Other Communicable Diseases (iii) April 15, USD0.02 million was announced by the ADB as part of the Strengthening Social Protection in the Pacific program
ADB announced on 30 July 2020 that it will provide USD 1.5 million in grants from its Asia Pacific Disaster Response Fund to finance Vanuatu's COVID-19 response.</t>
  </si>
  <si>
    <t>https://covid19policy.adb.org/policy-measures/VAN
https://www.adb.org/news/adb-announces-more-13-million-grants-help-pacific-combat-covid-19</t>
  </si>
  <si>
    <t>calculated</t>
  </si>
  <si>
    <t>See pg 14 of budget document, table 1. Unemployment benefits enumerated.</t>
  </si>
  <si>
    <t>A. Tax Relief –The following taxes will no longer be required to be paid in 2020: ( https://vcci.vu/update-on-the-vanuatu-governments-economic-financial-stimulus-package/)
Road Tax
Work Permits
Business License
Residence Permits
Rent Tax (due in June)
Additional other fees will be looked at (at a later date)
A range of other fees and charges will be cancelled. These measures will help to provide much needed cash flow to businesses and reduce costs;
Another key initiative relates to Business license reform which includes reducing the turnover tax of commercial banks from 7% to 5%. This will support more efficient banking and encourage lower interest rates, fees and charges;
Furthermore, the requirement to pay turnover tax on zero rated or exempt VAT sales will be removed. This will assist financial institutions, insurance entities, and professionals become better equipped to supply international services in an increasingly competitive international market;
The business license reform measures will be backdated to begin on 1 January 2020, and those businesses that have already paid these taxes, license fees, and charges, will be refunded.</t>
  </si>
  <si>
    <t>Fiscal balance expected to deteriorate due to COVID-19, running into negative territory.</t>
  </si>
  <si>
    <t>derived</t>
  </si>
  <si>
    <t>USD7.4 million in funding from the World Bank to further support the Government of Fiji in strengthening its health systems in the wake of the COVID-19 emergency.
"In preparation" - for COVID-19 emergency response operations.
The World Bank’s US$7.4m commitment to Fiji is being delivered through a US$6.4m dedicated emergency health project through the International Development Association (IDA).
This financing is provided on concessional terms under the Small Islands Economies Exception with 0% interest, a 10-year grace period and 40 years maturity.
The additional US$1million grant will be drawn from the Pandemic Emergency Financing Facility (PEF) Insurance fund.</t>
  </si>
  <si>
    <t xml:space="preserve"> (i) April 15, USD0.03 million announced by the ADB as part of the Strengthening Social Protection in the Pacific program; (ii) April 24, USD0.11 million allocated by the ADB as additional funding to Fiji under the Regional Project on Developing the Pacific Health Sector; (iii) USD1.20 million [update] under the TA 9950-REG: Regional Support to Address the Outbreak of COVID-19 and Potential Outbreaks of Other Communicable Diseases; (iv) June 5, USD0.17 million in financing under the Pacific Economic Management, Phase 3 project; 
USD 200 million is a policy based loan (concessional finance) to boost private sector survival and recovery.</t>
  </si>
  <si>
    <t>Pre-COVID projection</t>
  </si>
  <si>
    <t>Post-COVID projection</t>
  </si>
  <si>
    <t>Yes (but delayed)</t>
  </si>
  <si>
    <t>Health expenditure (in million USD)</t>
  </si>
  <si>
    <t>Safety net expenditure (in million USD)</t>
  </si>
  <si>
    <t>Food security expenditure (in million USD)</t>
  </si>
  <si>
    <t>The non-oil GDP figure is used for Timor-Leste</t>
  </si>
  <si>
    <t>FJD 40 million (USD 18.78 million) - for the Ministry of Health and Medical services</t>
  </si>
  <si>
    <t>K113 million for districts and provinces to promote agriculture development and food security through an outreach campaign and grants for improved crop production;
K50 million as a price support program for agriculture export crop production directed at small cash crop producers especially in the coffee, cocoa and copra industries initially;
Total: K163 million = USD 47 million</t>
  </si>
  <si>
    <t>https://www.businessadvantagepng.com/papua-new-guinea-treasurer-details-k600-million-stimulus-package/</t>
  </si>
  <si>
    <t>Calculated</t>
  </si>
  <si>
    <t xml:space="preserve">FJD 1 million (USD 0.47 million) allocated to the Ministry of Agriculture. </t>
  </si>
  <si>
    <t>20.3 million tala (USD 7.75 million) allocated to the Health Sector</t>
  </si>
  <si>
    <t>There will be a "$300 one-off special pension to be added to the next monthly pension of $145 tala" . This special pension is valued at 3 million tala = USD 1.14 million</t>
  </si>
  <si>
    <t xml:space="preserve">SBD 70 million (USD 8.61 million) allocated to value adding or producing targeted products in agriculture such as noni, kava, cassava, taro, potatoes, coconut and cocoa. </t>
  </si>
  <si>
    <t>SBD 10 million (USD 1.23 million) allocation of health grants to all Provincial Health Authorities.</t>
  </si>
  <si>
    <t>Approximately 33% of funds (USD 8.5 million) will be channelled to the health sector,</t>
  </si>
  <si>
    <t>3.2 million pa’anga (USD 1.41 million) for the food security</t>
  </si>
  <si>
    <t>https://covid19policy.adb.org/policy-measures/ton</t>
  </si>
  <si>
    <t>http://www.finance.gov.to/sites/default/files/2020-08/Budget%20Statement%202020-21_20Apr%20-postLA_TC%20Harold_06.08.20%2012.00PM.pdf</t>
  </si>
  <si>
    <t>https://covid19policy.adb.org/policy-measures/TIM
https://comtrade.un.org/</t>
  </si>
  <si>
    <t>According to ADB, cash transfers will be provided to over 214,000 households, worth USD100 per month per household, lasting for 3 months. The total estimated expenditure is therefore USD 64.2 million.</t>
  </si>
  <si>
    <t>Table 3 on page 16 of the supplement to the COVID-19 response budget address</t>
  </si>
  <si>
    <t>http://www.parliament.gov.fj/publications/supplement-to-the-covid-19-response-budget-address/</t>
  </si>
  <si>
    <t>(i) April 8, TA 9950-REG: Regional Support to Address the Outbreak of COVID-19 and Potential Outbreaks of Other Communicable Diseases USD0.85 million for Papua New Guinea; (ii) April 15, USD0.08 million technical assistance under Strengthening Social Protection in the Pacific [update]; (ii) April 24, USD0.13 million technical assistance under Developing the Pacific Health Sector (Additional Financing);  June 5, USD0.14 million technical assistance under Pacific Economic Management (Additional Financing)
June 30, USD0.10 million techinal assistance under Quality Jobs and the Future of Work; [update] (vii) July 1, USD0.15 million techical assistance under Promoting Digital Finance Solutions for Inclusive Finance among Partner Financial Institutions. [update] 
USD 3 million grant from ADB to PNG from its Asia Pacific Disaster Response Fund.</t>
  </si>
  <si>
    <t>USAID: USD 3.55 million
UN COVID-19 Response and Recovery Fund for intergrating WASH, nutrition and MNH interventions for COVID-19 response in Western Province, PNG : USD 0.995593 million
Chinese aid: USD 0.3 million
Global Fund: USD 1.26 million
GPE: USD 9.44 million
US: USD 1.2 million
WHO: USD 182,495</t>
  </si>
  <si>
    <t xml:space="preserve">US$ 4.592199m from Japan : Agreement signed with the Japanese International Cooperation Agency (JICA)
Directed to strengthening health care.
US$18.369139 from Japan: This is described as a 'stand by' loan.
Note that it is to assist with responding to both COVID-19 and TC Harold
US$ 217,354 from New Zealand: Hospital preparedness package including 40 ventilators.
The ventilators were handed over to the Fiji government on 19 June.
US$ 1,695,311 from New Zealand: Donation to Fiji Government’s COVID-19 response budget.
US$100,000 from China
July 15, USD50 million co-financing from the AIIB under the Sustained Private Sector-Led Growth Reform Program.
US$0.2 million from UNDP - to fund quarantine procedures for returning Fijians.
</t>
  </si>
  <si>
    <t>The support comprises a $10 million concessional loan and a $10 million grant and will go toward preventing the disease from entering the country and for mitigating the economic impacts, including protecting the livelihoods of the poor and vulnerable, especially women.
US$1.5m - Grant assistance from the Asia Pacific Disaster Response Fund.
US$ 6m - $3 million is a grant and $3 million is concessional finance via the Pacific Resilience Disaster Program (Phase 2).</t>
  </si>
  <si>
    <t>USD 0.3 million funding from UNDP's Covid-19 Response and Recovery Fund
USD 25.8 million from Japan: This consists of a grant amounting to $2.8 million and concessional finance via a Concessional Program Loan amounting to $23 million.
USD 2.77 million from Japan: The funding is for procurement to strengthen health systems
USD 1.8 million from NZ: For 2 hospitals on Malaita – at Gizo and Kilu’ufi
USD 0.347 million from Japan - Provided to UNICEF to support work with the Ministry of Health and Medical Services - strengthening community engagement as well as provide critical medical and water, sanitation and hygiene supplies.
It will also help strengthen health care, education including early childhood, child protection services and research on the impact of this global crisis on women and children in the country.
Also supported by the ADB.</t>
  </si>
  <si>
    <t>June 18, USD1 million in funding under the program, COVID-19 Food Security Emergency Response. [update] 
USD1.6 million [update] allocation for TA9950-REG: Regional Support to Address the Outbreak of Coronavirus Disease 2019 and Potential Outbreaks of Other Communicable Diseases; [updated]</t>
  </si>
  <si>
    <t>Timor-Leste</t>
  </si>
  <si>
    <t>Country Name</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</si>
  <si>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</si>
  <si>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</si>
  <si>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</si>
  <si>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</si>
  <si>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</si>
  <si>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</si>
  <si>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</si>
  <si>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</si>
  <si>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</si>
  <si>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</si>
  <si>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</si>
  <si>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</si>
  <si>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</si>
  <si>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</si>
  <si>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</si>
  <si>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</si>
  <si>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</si>
  <si>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</si>
  <si>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</si>
  <si>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</si>
  <si>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</si>
  <si>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</si>
  <si>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</si>
  <si>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</si>
  <si>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</si>
  <si>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</si>
  <si>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</si>
  <si>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</si>
  <si>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</si>
  <si>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</si>
  <si>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</si>
  <si>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</si>
  <si>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</si>
  <si>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</si>
  <si>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</si>
  <si>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</si>
  <si>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</si>
  <si>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</si>
  <si>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</si>
  <si>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</si>
  <si>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</si>
  <si>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</si>
  <si>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</si>
  <si>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</si>
  <si>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</si>
  <si>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</si>
  <si>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</si>
  <si>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</si>
  <si>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</si>
  <si>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</si>
  <si>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</si>
  <si>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</si>
  <si>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</si>
  <si>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</si>
  <si>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</si>
  <si>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</si>
  <si>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</si>
  <si>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</si>
  <si>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</si>
  <si>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</si>
  <si>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Papua New Guinea</t>
  </si>
  <si>
    <t>Personal remittances (in current USD)</t>
  </si>
  <si>
    <t>Personal remittances (as % of GDP)</t>
  </si>
  <si>
    <t>CW Pacific</t>
  </si>
  <si>
    <t xml:space="preserve">Other Pacific </t>
  </si>
  <si>
    <t>Economy-wide remittance loss under worst-case scenario (% of baseline)</t>
  </si>
  <si>
    <t>East Asia &amp; Pacific</t>
  </si>
  <si>
    <t>Pacific island small states</t>
  </si>
  <si>
    <t>GDP per capita in constant 2010 US$</t>
  </si>
  <si>
    <t>Timor-Leste(nominal)</t>
  </si>
  <si>
    <r>
      <t xml:space="preserve">According to its 2020/21 budget statement (page 83), TOP 5 million in employee support will be rolled out, though no further details on the nature of this payout are provided. This is equivalent to </t>
    </r>
    <r>
      <rPr>
        <sz val="10"/>
        <color rgb="FF00B050"/>
        <rFont val="Calibri"/>
        <family val="2"/>
        <scheme val="minor"/>
      </rPr>
      <t>USD 2.2 million.</t>
    </r>
    <r>
      <rPr>
        <sz val="10"/>
        <color theme="1"/>
        <rFont val="Calibri"/>
        <family val="2"/>
        <scheme val="minor"/>
      </rPr>
      <t xml:space="preserve">
</t>
    </r>
  </si>
  <si>
    <t>Inflation for Timor-Leste</t>
  </si>
  <si>
    <t xml:space="preserve">Real GDP growth </t>
  </si>
  <si>
    <t>East Asia</t>
  </si>
  <si>
    <t>Expenditure per capita</t>
  </si>
  <si>
    <t>Page 33, Statement of Consolidated Operations</t>
  </si>
  <si>
    <t>Apr 2020</t>
  </si>
  <si>
    <t>Mar 2020</t>
  </si>
  <si>
    <t>Released in Mar 2020</t>
  </si>
  <si>
    <t>News article in Apr 2020</t>
  </si>
  <si>
    <t>https://www.rnz.co.nz/international/pacific-news/413128/vanuatu-s-salwai-announces-covid-19-stimulus-package</t>
  </si>
  <si>
    <t>Apr 2020 news article</t>
  </si>
  <si>
    <t>May 2020</t>
  </si>
  <si>
    <t>May 2020 announcement</t>
  </si>
  <si>
    <t>Apr 2020 article</t>
  </si>
  <si>
    <t>Apr 2020 announcement</t>
  </si>
  <si>
    <t>https://www.treasury.gov.pg/html/national_budget/files/2020/2020%20Budget%20Volume%201.pdf</t>
  </si>
  <si>
    <t>page 54, table 8</t>
  </si>
  <si>
    <t xml:space="preserve">40.3% figure taken from page 43 of the budget book
</t>
  </si>
  <si>
    <t xml:space="preserve">https://www.treasury.gov.pg/html/national_budget/files/2020/2020%20Budget%20Volume%201.pdf
</t>
  </si>
  <si>
    <t>Table 3, page 16, revised 2019-2020 budget</t>
  </si>
  <si>
    <t>http://www.parliament.gov.fj/wp-content/uploads/2019/06/2019-2020-budget-estimates.pdf</t>
  </si>
  <si>
    <t>Page 2 of http://www.parliament.gov.fj/wp-content/uploads/2019/06/2019-2020-budget-estimates.pdf</t>
  </si>
  <si>
    <t>Assuming same nominal value as pre-Covid deficit.</t>
  </si>
  <si>
    <t>Assuming same nominal value as pre-Covid deficit but a decline in GDP by 9.8%.</t>
  </si>
  <si>
    <t>Table 4.1, page 11, 2019-20 fiscal strategy - Official Public Debts as % of GDP was predicted to be 44% in 2019/20</t>
  </si>
  <si>
    <t>https://www.mof.gov.ws/wp-content/uploads/2020/08/200525-Fiscal-Strategy-FY2021-ENG-Final.pdf</t>
  </si>
  <si>
    <t>Table 4.1, page 15, 2020-21 fiscal strategy - Official Public Debts as % of GDP was predicted to be 48% in 2019/20</t>
  </si>
  <si>
    <t>page 11, table 4.1</t>
  </si>
  <si>
    <t>page 13, table 4.1</t>
  </si>
  <si>
    <t>Page 3 under Real GDP growth section</t>
  </si>
  <si>
    <t>https://www.imf.org/en/News/Articles/2019/06/13/pr19216-vanuatu-imf-executive-board-concludes-2019-article-iv-consultation-with-vanuatu</t>
  </si>
  <si>
    <t>According to IMF June 2019 Vanuatu country report, 2020 projected debt to GDP ratio was 53.9%</t>
  </si>
  <si>
    <t>https://doft.gov.vu/index.php/covid-19
https://dailypost.vu/news/vt4-billion-stimulus-package/article_91c9d47c-7399-11ea-b675-d7366938da98.html</t>
  </si>
  <si>
    <t xml:space="preserve">https://www.rnz.co.nz/international/pacific-news/413128/vanuatu-s-salwai-announces-covid-19-stimulus-package
                                                             https://covid19policy.adb.org/policy-measures/VAN
</t>
  </si>
  <si>
    <t>fiscal balance divided by 2019 GDP.</t>
  </si>
  <si>
    <t xml:space="preserve">Page 6 </t>
  </si>
  <si>
    <t>Page 7, table 3</t>
  </si>
  <si>
    <t>30.8% of (97.2% of USD 1.7 billion)</t>
  </si>
  <si>
    <t>page 51: estimated  total public debt as of 30 June 2020</t>
  </si>
  <si>
    <t>Table 2 on page 10</t>
  </si>
  <si>
    <t>2019/20 Estimated GDP was TOP 1074.4 million (table 1, page 7). Projected deficit divided by this amount is about -1.6%.</t>
  </si>
  <si>
    <t>Fiscal balance for 2020</t>
  </si>
  <si>
    <t xml:space="preserve">Post-COVID revenue projection </t>
  </si>
  <si>
    <t>Pre-COVID revenue projection</t>
  </si>
  <si>
    <t>Post-COVID revenue projection as % of pre-COVID</t>
  </si>
  <si>
    <t>Fiscal balance ( % of GDP, 2020, pre-pandemic)</t>
  </si>
  <si>
    <t>Fiscal balance (LCU million, 2020, pre-pandemic)</t>
  </si>
  <si>
    <t>East Asia refers to East Asia and Pacific excluding high-income countries</t>
  </si>
  <si>
    <t>GDP (2020) - current prices (LCU million) - pre COVID</t>
  </si>
  <si>
    <t>GDP (2020) - current prices (LCU million)- post COVID</t>
  </si>
  <si>
    <t>12.5 million tala revenue hit: 
"As previously mentioned, additional revenues for this Supplementary budget is $48.8million however $12.5million will be deducted to reflect border taxes which are anticipated to be greatly affected by the coronavirus."</t>
  </si>
  <si>
    <t>Total expenditure of 47.3 million tala minus 8.9 million of deveopment projects by donor partners</t>
  </si>
  <si>
    <t>Budget gap of SBD 190 million considered as revenue loss.</t>
  </si>
  <si>
    <t xml:space="preserve">Table 3, page 16, revised 2019-2020 budget. </t>
  </si>
  <si>
    <t>Table 2, page 15: Grants in aid amounted to FJD 13.8 million in the 2019/20 budget. This was subtracted from total revenue to get domestic revenue.</t>
  </si>
  <si>
    <t>Table 6, page 41: Donor grants amounted to 932.1 million kina.</t>
  </si>
  <si>
    <t>External assistance assumed at the time of the stimulus package (in million LCU)</t>
  </si>
  <si>
    <t>"1) $40.8million additional Grants received from Development Partners:"</t>
  </si>
  <si>
    <t>GDP forecasted for 2020, table 3, page 114</t>
  </si>
  <si>
    <t>Table 3, page 77</t>
  </si>
  <si>
    <t>http://www.parliament.gov.fj/wp-content/uploads/2019/06/budget-supplement.pdf</t>
  </si>
  <si>
    <t>Risk of external debt distress (pre-COVID)</t>
  </si>
  <si>
    <t>Risk of external debt distress (post-COVID)</t>
  </si>
  <si>
    <t>Moderate</t>
  </si>
  <si>
    <t>High</t>
  </si>
  <si>
    <t>Low</t>
  </si>
  <si>
    <t>http://documents1.worldbank.org/curated/en/296411555639304820/pdf/Debt-Vulnerabilities-in-IDA-Countries-Policy-Options-for-IDA19.pdf</t>
  </si>
  <si>
    <t>https://www.worldbank.org/en/topic/debt/brief/covid-19-debt-service-suspension-initiative</t>
  </si>
  <si>
    <t>Marshall Islands</t>
  </si>
  <si>
    <t>Micronesia</t>
  </si>
  <si>
    <t>Tuvalu</t>
  </si>
  <si>
    <t>Status</t>
  </si>
  <si>
    <t>Pre-COVID</t>
  </si>
  <si>
    <t>Risk of external debt distress</t>
  </si>
  <si>
    <t>(source: http://documents1.worldbank.org/curated/en/296411555639304820/pdf/Debt-Vulnerabilities-in-IDA-Countries-Policy-Options-for-IDA19.pdf</t>
  </si>
  <si>
    <t>Post-COVID/Latest available</t>
  </si>
  <si>
    <t>Month of DSA publication</t>
  </si>
  <si>
    <t>Month of latest published DSA</t>
  </si>
  <si>
    <t>(source: https://www.worldbank.org/en/topic/debt/brief/covid-19-debt-service-suspension-initiative</t>
  </si>
  <si>
    <t>Month of status update: May 2019</t>
  </si>
  <si>
    <t>Month of status update: Aug 2020</t>
  </si>
  <si>
    <t>According to table 8 on page 43, 5% of 2020 GDP is 4631 million kina (fiscal deficit for 2020).</t>
  </si>
  <si>
    <t>Based on ADB's 2020 GDP growth projection of 1.5% and 2019 GDP levels.</t>
  </si>
  <si>
    <t>page 12, table 4.2</t>
  </si>
  <si>
    <t>page 14, table 4.2</t>
  </si>
  <si>
    <t>Table 1 on page 7</t>
  </si>
  <si>
    <t>Table 8, page 18</t>
  </si>
  <si>
    <t>https://doft.gov.vu/images/Economic_Impact_Assessment_Report/Economic_Impact_Assessment_Summary_Report.pdf</t>
  </si>
  <si>
    <t>From table 5 on page 10</t>
  </si>
  <si>
    <t>Based on Aug 2020 data</t>
  </si>
  <si>
    <t>Based on Sep 2019 data</t>
  </si>
  <si>
    <t>Micronesia, Fed. Sts.</t>
  </si>
  <si>
    <t>Kiribati</t>
  </si>
  <si>
    <t>Nauru</t>
  </si>
  <si>
    <t>Palau</t>
  </si>
  <si>
    <t>Inflation, GDP deflator (%)</t>
  </si>
  <si>
    <t>Annual GDP growth(%)</t>
  </si>
  <si>
    <t>Average</t>
  </si>
  <si>
    <t>Cook Islands</t>
  </si>
  <si>
    <t>Niue</t>
  </si>
  <si>
    <t>Fiscal Balance of Central Government (% of GDP)</t>
  </si>
  <si>
    <t>Source: Asian Development Outlook 2020, Table A10</t>
  </si>
  <si>
    <t>Page 19 of the Budget book. 
Domestic revenue = USD 210.5 million (table 11, page 19)</t>
  </si>
  <si>
    <t>Page 9 of document
Domestic revenue = TOP 305.6 million (page 10 of 2019-20 budget statement)</t>
  </si>
  <si>
    <t>Page 33, Statement of Consolidated Operations.
Domestic reveune = 39584.3-9069.1 = VUV 30515.2 million</t>
  </si>
  <si>
    <t>Page 4 of the PDF under Budget Summary, ordinary receipts. 
Domestic revenue = 646,376,616 tala (page I, budget summary)</t>
  </si>
  <si>
    <t xml:space="preserve">Page 5 under Total 2020 revenue. 
Domestic revenue = 3941 - 90 = SBD 3851 million </t>
  </si>
  <si>
    <t>Page 3 of speech (document attached) or 2020 budget document, Volume 1. 
Domestic revenue = 14095.4-932.1= 13163.3 million kina</t>
  </si>
  <si>
    <t>Page 16, point 4.22, Table 3 of the document. 
Domestic revenue = 3492-13.8 =FJD 3478.2 million</t>
  </si>
  <si>
    <t>Average (in %)</t>
  </si>
  <si>
    <t>FSM</t>
  </si>
  <si>
    <t>TL</t>
  </si>
  <si>
    <t>Fall in own  revenue</t>
  </si>
  <si>
    <t>Data source: World Development Indicators</t>
  </si>
  <si>
    <t>https://www.pwc.com/pg/en/publications/png-pulse-keeping-you-informed/png-pulse-april-2020---special-edition-2---publications---papua-.html</t>
  </si>
  <si>
    <t>Table 5.0, page 17: 
ADB budget support SBD 213 million
World Bank budget support SBD 164 million
DFAT SBD 69 million</t>
  </si>
  <si>
    <t>https://thediplomat.com/2020/05/timor-lestes-coronavirus-response/</t>
  </si>
  <si>
    <t>Real GDP growth</t>
  </si>
  <si>
    <t>Fall in domestic revenue as % of domestic revenue</t>
  </si>
  <si>
    <t>Page 10 of document - TOP 305.7 million is the estimated domestic revenue pre-COVID and toP 248.7 million is the post-COVID domestic revenue.</t>
  </si>
  <si>
    <t>The stimulus package aimed to secure 1.5 billion kina in concessional financing from foreign multilateral institutions</t>
  </si>
  <si>
    <t>Page 81, under source of funds: Development funds comprise TOP 11.6 million of the TOP 60 million stimulus package; plus, TOP 34.9 million allocated for Budget support</t>
  </si>
  <si>
    <t>(note: Pacific island small states (according to World Bank): Fiji, Kiribati, Marshall Islands, Micronesia, Fed. States, Nauru, Palau, Samoa, Solomon Islands, Tonga, Tuvalu, Vanuatu</t>
  </si>
  <si>
    <t>(Australia's figure comes from Grattan Institute (https://blog.grattan.edu.au/2020/04/covid-19-australias-fiscal-response-is-now-among-the-biggest-in-the-world/)</t>
  </si>
  <si>
    <t>GDP growth rate</t>
  </si>
  <si>
    <t>Marhsall Islands</t>
  </si>
  <si>
    <t>Revenue loss of SBD 190 million divided by 2020 budget estimate of domestic revenue ( SBD 3570 million)</t>
  </si>
  <si>
    <t>Page I of document, budget summary : domestic revenue was forecasted to be 646,376,616 tala.
12.5 million fall in revenue divided by 646.4 million tala to get the result.</t>
  </si>
  <si>
    <t>Created by</t>
  </si>
  <si>
    <t>Stephen Howes and Sherman Surandiran</t>
  </si>
  <si>
    <t>Countries covered</t>
  </si>
  <si>
    <t>Fiji, PNG, Samoa, Solomon Islands, Timor-Leste, Tonga and Vanuatu.</t>
  </si>
  <si>
    <t>Sources used</t>
  </si>
  <si>
    <t>Griffith University Coronavirus aid in the Pacific database</t>
  </si>
  <si>
    <t>Fiji's 2019-20 budget estimates</t>
  </si>
  <si>
    <t>Fiji's supplement to the COVID-19 response budget address</t>
  </si>
  <si>
    <t>Fiji's Economic-and-Fiscal-Update-Supplement-to-the-2020-2021-Budget-Address</t>
  </si>
  <si>
    <t>xe.com website for currency exchange rates</t>
  </si>
  <si>
    <t xml:space="preserve">Fiji Reserve Bank's Revised Growth Projections </t>
  </si>
  <si>
    <t>PNG's 2020 Budget Volume 1</t>
  </si>
  <si>
    <t>PWC Special Edition on PNG</t>
  </si>
  <si>
    <t>SAMOA</t>
  </si>
  <si>
    <t>Samoan government's 2020-21 fiscal strategy</t>
  </si>
  <si>
    <t>Samoa's FY19-20 Approved budget</t>
  </si>
  <si>
    <t>Samoa's 2019-20 second supplementary budget address</t>
  </si>
  <si>
    <t>News article</t>
  </si>
  <si>
    <t>SOLOMON ISLANDS</t>
  </si>
  <si>
    <t>2020 budget document, financial policy objectives and strategies (Volume 1)</t>
  </si>
  <si>
    <t>Central bank's Q4 2019 report</t>
  </si>
  <si>
    <t>Solomon Island's government economic stimulus package booklet</t>
  </si>
  <si>
    <t>https://www.mof.gov.tl/wp-content/uploads/2018/11/BB1_Eng1.pdf</t>
  </si>
  <si>
    <t>IDA's debt vulberabilities in IDA countries document (IDA 19)</t>
  </si>
  <si>
    <t>World Bank's COVID-19 debt service suspension initiative brief</t>
  </si>
  <si>
    <t>TIMOR-LESTE</t>
  </si>
  <si>
    <t>TONGA</t>
  </si>
  <si>
    <t>Tonga's 2019-20 budget statement</t>
  </si>
  <si>
    <t>Tonga's post-COVID and TC Harold budget statement</t>
  </si>
  <si>
    <t>Central bank's economic consequences of COVID-19 brief</t>
  </si>
  <si>
    <t>Central bank's economic monitor</t>
  </si>
  <si>
    <t>https://www.adb.org/news/adb-announces-more-13-million-grants-help-pacific-combat-covid-19</t>
  </si>
  <si>
    <t>Vanuatu's 2020 budget book</t>
  </si>
  <si>
    <t>Vanuatu's Economic impact assessment summary report</t>
  </si>
  <si>
    <t>Vanuatu's update on the government's financial stimulus package</t>
  </si>
  <si>
    <t>ADB's announcement of grants to Vanuatu</t>
  </si>
  <si>
    <t>VANUATU</t>
  </si>
  <si>
    <t>Vanuatu's COVID-19 website</t>
  </si>
  <si>
    <t>GENERAL SOURCES</t>
  </si>
  <si>
    <t>Structure</t>
  </si>
  <si>
    <t>FIJI</t>
  </si>
  <si>
    <t>PAPUA NEW GUINEA</t>
  </si>
  <si>
    <t>(data for PNG comes from the PNG Budget database (non-resource GDP growth): https://devpolicy.crawford.anu.edu.au/png-project/png-budget-database</t>
  </si>
  <si>
    <t>PNG budget database</t>
  </si>
  <si>
    <t>https://devpolicy.crawford.anu.edu.au/png-project/png-budget-databasehttp://www.parliament.gov.fj/wp-content/uploads/2019/06/2019-2020-budget-estimates.pdf</t>
  </si>
  <si>
    <t>https://onlinelibrary.wiley.com/doi/full/10.1002/app5.307</t>
  </si>
  <si>
    <t>"Fiji economic survey: Low growth the new normal?" journal article by Neelesh Gounder</t>
  </si>
  <si>
    <r>
      <t xml:space="preserve">Planned initial expenditure (K0.5 billion)
K0.175 billion for health sector
K0.05 billion for police force
K0.025 billion for defence force
K0.25 billion for families, job support, rural households, MSMEs,food security.
Revised initial expenditure (K0.6 billion)
K0.28 billion for health and sectors
K0.32 billion for argiculture, households and businesses.
</t>
    </r>
    <r>
      <rPr>
        <b/>
        <sz val="11"/>
        <color theme="1"/>
        <rFont val="Calibri"/>
        <family val="2"/>
        <scheme val="minor"/>
      </rPr>
      <t>BREAKDOWN of K0.28 billion for health and sectors</t>
    </r>
    <r>
      <rPr>
        <sz val="11"/>
        <color theme="1"/>
        <rFont val="Calibri"/>
        <family val="2"/>
        <scheme val="minor"/>
      </rPr>
      <t xml:space="preserve">
K60 million for upgrading hygiene at potential coronavirus hotspots such as markets, schools churches and aidposts;
K37 million to be distributed directly to front-line Provincial Health Authorities as a 22 percent increase in each of their 2020 Budget funding allocations;
K30 million for the Department of Health for the purchase of Personal Protective Equipment and other vital health support using international procurement practices as established by the World Bank;
K60 million to the Royal Papua New Guinea Constabulary, the Defence Force and Correctional Services to strengthen law and order aspects of the war on the pandemic, and to defend our borders against potential disease carriers;
K73 million to the Defence Force to build 10 border posts as soon as possible, including covering the functions of immigration, customs, quarantine and defence;
K15 million to the Department of Foreign Affairs and Trade to build capacity at overseas posts and to help repatriate Papua New Citizens trapped abroad; and
K5 million of administrative support for churches and city/urban authorities to provide food for those most in need.
</t>
    </r>
    <r>
      <rPr>
        <b/>
        <sz val="11"/>
        <color theme="1"/>
        <rFont val="Calibri"/>
        <family val="2"/>
        <scheme val="minor"/>
      </rPr>
      <t>BREAKDOWN of K0.32 billion for agriculture, households and businesses.</t>
    </r>
    <r>
      <rPr>
        <sz val="11"/>
        <color theme="1"/>
        <rFont val="Calibri"/>
        <family val="2"/>
        <scheme val="minor"/>
      </rPr>
      <t xml:space="preserve">
K113 million for districts and provinces to promote agriculture development and food security through an outreach campaign and grants for improved crop production;
K50 million as a price support program for agriculture export crop production directed at small cash crop producers especially in the coffee, cocoa and copra industries initially;
K45.5 million to support rural MSMEs and households, enabling districts and provinces to undertake responsive MSME activities such as market improvements and small business training;
K41.5 million as an additional Business Stimulus Package to protect jobs, focused on removing fees and charges to cheapen logistics and freight, while also retargeting actions without additional cost to prioritise paying outstanding government debt to small business, introducing more friendly tax measures, and simplifying the application of corporate law;
K70 million for additional economic stimulus activities to be determined by the Treasurer in consultation with other agencies and business.</t>
    </r>
  </si>
  <si>
    <t>values copied so that we can order</t>
  </si>
  <si>
    <t>Business support expenditure (in million USD)</t>
  </si>
  <si>
    <t>From pg 14 of Supplement to the COVID-19 response budget document, Table 1: 
BREAKDOWN OF FJD 100 million expenditure (numbers below in FJD million)
Ministry of Health 40.0
Fiji Police Force 0.7
Republic of Fiji Military Forces 0.15
Ministry of Agriculture 1.0
Fiji Competition and Consumer Commission 0.1
Unemployment Benefit – Tourism Sector 5.6
Unemployment Benefit – Lockdown Areas (Formal Sector) 7.0
Unemployment Benefit – Lockdown Areas (Informal Sector) 3.0
Unemployment Benefit – General 5.0
Assistance to SME’s 5.0
Contingency Funds (Unemployment) 5.0
Contingency Funds (General) 27.5</t>
  </si>
  <si>
    <t>Total of 12.5 million tala in the stimulus package allocated to private sector support but most come in the form of moratoriums and waiver of fees. 
Business support expenditure: 
SAT$2million capital injection from Accident Compensation Corporation to assist in financing the Stimulus Package 
SAT $1million equity injection into Samoa Airways</t>
  </si>
  <si>
    <t>Table 1 on page 14.Assistance to SMEs: FJD 5 million.</t>
  </si>
  <si>
    <t xml:space="preserve">K60 million for upgrading hygiene at potential coronavirus hotspots such as markets, schools churches and aidposts;
K37 million to be distributed directly to front-line Provincial Health Authorities as a 22 percent increase in each of their 2020 Budget funding allocations;
K30 million for the Department of Health for the purchase of Personal Protective Equipment and other vital health support using international procurement practices as established by the World Bank;
Equivalent of USD 36.6 million spending on the health sector.
Other major sources of health support: 
From ADB:  April 8, TA 9950-REG: Regional Support to Address the Outbreak of COVID-19 and Potential Outbreaks of Other Communicable Diseases USD0.85 million for Papua New Guinea;
Australia
Part of a commitment to provide up to 2 million pieces of PPE.
750kg already supplied as of 29 Apr 2020.
10 container health clinics to be deployed to provincial and rural areas
Chinese businessman (Chen Mailin)
Face masks valued at USD 287,954 and 20 ventillators
China-PNG Friendship Association
50,000 face masks
ICRC 
gloves, aprons, detrergent for Mount Hagen Hospital and hygiene material for Bomana prison
</t>
  </si>
  <si>
    <t>K45.5 million to support rural MSMEs and households, enabling districts and provinces to undertake responsive MSME activities such as market improvements and small business training;
K70 million for additional economic stimulus activities to be determined by the Treasurer in consultation with other agencies and business.
K41.5 million as an additional Business Stimulus Package to protect jobs, focused on removing fees and charges to cheapen logistics and freight, while also retargeting actions without additional cost to prioritise paying outstanding government debt to small business, introducing more friendly tax measures, and simplifying the application of corporate law;
Equivalent of USD 45.24 million</t>
  </si>
  <si>
    <t>Infrastructure expenditure (in million USD)</t>
  </si>
  <si>
    <t>Page 81 of document
17.4 million allocated to the economic and social recovery cluster (excluding 5 milliiion as safety net expenditure)</t>
  </si>
  <si>
    <t>Page 81 of document
4 million spent to upgrade shelter facility</t>
  </si>
  <si>
    <t>(information for other countries come from various sources. Refer to country tabs for more details)</t>
  </si>
  <si>
    <t>Source: World Development Indicators</t>
  </si>
  <si>
    <t>(source: World Development Indicators)</t>
  </si>
  <si>
    <t>Information comes from various sources. Refer to country tabs for more details.</t>
  </si>
  <si>
    <t>(see respective country tabs for information source of each country)</t>
  </si>
  <si>
    <t>Stimulus figures used here, not national budget)</t>
  </si>
  <si>
    <t>(Source: see notes above country groups above for details on the sources used)</t>
  </si>
  <si>
    <t>(data for Timor-Leste comes from World Development Indicators; Growth of non-oil GDP is used here</t>
  </si>
  <si>
    <t>(data for Fiji comes from Neelesh Gounder's  journal article: https://onlinelibrary.wiley.com/doi/full/10.1002/app5.307)
The GDP growth rates indicated for Fiji are for the respective calendar years.</t>
  </si>
  <si>
    <t>Note: Real GDP growth rate for FSM, Palau and Tonga averaged over 2014-2018. Others, averaged over 2015-2019.</t>
  </si>
  <si>
    <t>Unavailable</t>
  </si>
  <si>
    <r>
      <t>(includes Kiribati, Nauru,</t>
    </r>
    <r>
      <rPr>
        <sz val="10"/>
        <color rgb="FFFF0000"/>
        <rFont val="Calibri"/>
        <family val="2"/>
        <scheme val="minor"/>
      </rPr>
      <t xml:space="preserve"> PNG, Vanuatu</t>
    </r>
    <r>
      <rPr>
        <sz val="10"/>
        <color theme="1"/>
        <rFont val="Calibri"/>
        <family val="2"/>
        <scheme val="minor"/>
      </rPr>
      <t>)</t>
    </r>
  </si>
  <si>
    <r>
      <t>(includes FSM, Palau and</t>
    </r>
    <r>
      <rPr>
        <sz val="10"/>
        <color rgb="FFFF0000"/>
        <rFont val="Calibri"/>
        <family val="2"/>
        <scheme val="minor"/>
      </rPr>
      <t xml:space="preserve"> Solomon Islands</t>
    </r>
    <r>
      <rPr>
        <sz val="10"/>
        <color theme="1"/>
        <rFont val="Calibri"/>
        <family val="2"/>
        <scheme val="minor"/>
      </rPr>
      <t>)</t>
    </r>
  </si>
  <si>
    <t>Percentage</t>
  </si>
  <si>
    <t xml:space="preserve">Not indicated </t>
  </si>
  <si>
    <t>Additional expenditure divided by exchange rate.</t>
  </si>
  <si>
    <t>No indication</t>
  </si>
  <si>
    <t>Information unavailable</t>
  </si>
  <si>
    <t>External assistance divided by GDP</t>
  </si>
  <si>
    <t>own working</t>
  </si>
  <si>
    <t>World Development indicators</t>
  </si>
  <si>
    <t>Stimulus package amount divided by GDP</t>
  </si>
  <si>
    <t>stimulus package amount divided by exchange rate</t>
  </si>
  <si>
    <t>Stimulus package amount divided by population</t>
  </si>
  <si>
    <t>Additional expenditure divided by exchange rate</t>
  </si>
  <si>
    <t>Stimulus package amount divided by exchange rate</t>
  </si>
  <si>
    <t>Expenditure divided by population</t>
  </si>
  <si>
    <t>Additional expenditure divided by GDP</t>
  </si>
  <si>
    <t>Additional expenditure divided by population</t>
  </si>
  <si>
    <t>Stimulus package divided by exchange rate.</t>
  </si>
  <si>
    <t>Stimulus package divided by GDP.</t>
  </si>
  <si>
    <t>Stimulus package divided by population.</t>
  </si>
  <si>
    <t>Page 16 of document indicates balanced budget.</t>
  </si>
  <si>
    <t>Fiscal balance divided by GDP</t>
  </si>
  <si>
    <t>Sum of external assistance to country.</t>
  </si>
  <si>
    <t>Not applicable</t>
  </si>
  <si>
    <t>World development indicators</t>
  </si>
  <si>
    <t>sum of external assistance to country</t>
  </si>
  <si>
    <t>From Table 1 on page 14, 
Unemployment Benefit – Tourism Sector 5.6
Unemployment Benefit – Lockdown Areas (Formal Sector) 7.0
Unemployment Benefit – Lockdown Areas (Informal Sector) 3.0
Unemployment Benefit – General 5.0
TOTAL = FJD 20.6 million = USD 9.67 million
Alternative total of FJD 60 million  provided on page 11</t>
  </si>
  <si>
    <t>Combined (average over five years)</t>
  </si>
  <si>
    <t>SI</t>
  </si>
  <si>
    <t>Health</t>
  </si>
  <si>
    <t>Safety net</t>
  </si>
  <si>
    <t>Business support</t>
  </si>
  <si>
    <t>Food security</t>
  </si>
  <si>
    <t>Infrastructure</t>
  </si>
  <si>
    <t>Other</t>
  </si>
  <si>
    <t>Sectoral expenditure as a % of stimulus package expenditure</t>
  </si>
  <si>
    <t>Health expenditure not mentioned as part of government expenditure but there is external aid towards Vanuatu's health sector from the following sources: 
USD 3,438,144 from Australia for Ministry of Health to support its health response
USD 2,744,835 from Japan to strengthen the health and medical systems.</t>
  </si>
  <si>
    <t>Food security expenditure not mentioned as part of government expenditure but there is external aid towards ensuring Vanuatu's food security from the following source: 
USD 6.67 million from the EU
 With the new EU support, Civil Society Organisations will promote sustainable production of safe and nutritious foods for vulnerable communities.
Their action will complement the Ministry of Agriculture’s Overarching Productive Sector Policy, which is supported by the EU Vanuatu Value Chain (VaVaC) Budget Support program.</t>
  </si>
  <si>
    <t>Revenue projection</t>
  </si>
  <si>
    <t>Expenditure divided by GDP</t>
  </si>
  <si>
    <t>https://doft.gov.vu/index.php/covid-20</t>
  </si>
  <si>
    <t>Page 114, table 3.</t>
  </si>
  <si>
    <t>Stimulus package divided by exchange rate</t>
  </si>
  <si>
    <t>Stimulus package divided by GDP</t>
  </si>
  <si>
    <t>Stimulus package divided by population</t>
  </si>
  <si>
    <t>Based on 2020 GDP growth projections applied on 2019 GDP.</t>
  </si>
  <si>
    <t>Based on 2019 GDP level and projected GDP growth rate.</t>
  </si>
  <si>
    <t>USD 150 million from the Petroleum Fund has been set aside as special Covid-19 funds for expenses to tackle Covid-19.</t>
  </si>
  <si>
    <t>Timor-Leste uses USD as its currency.</t>
  </si>
  <si>
    <t xml:space="preserve">Health expenditure not mentioned as part of government expenditure but there is external aid towards Timor-Leste's health sector from the following sources: 
From ADB: USD1.15 million allocation for TA9950-REG: Regional Support to Address the Outbreak of Coronavirus Disease 2019 and Potential Outbreaks of Other Communicable Diseases
USD1.1 million in health assistance to Timor-Leste to help prepare laboratory systems, activate case-finding, support technical experts, among others, from the U.S. Agency for International Development (USAID). 
Almost USD1 million in support from the United Nations Development Group from the UN COVID-19 Response &amp; Recover fund; </t>
  </si>
  <si>
    <t>purchase of 3-month emergency supply of rice; maintaining transportation channels open for essential goods and medical/emergency goods;
value of 3 months' supply of rice was estimated using last year's value of total rice imports over 12 months and pro-rating to get an estimate for 3 months.</t>
  </si>
  <si>
    <t>Funding for its stimulus package comes from its petroleum fund</t>
  </si>
  <si>
    <t>Assuming 3% pre-COVID GDP growth applied on 2019 GDP levels.</t>
  </si>
  <si>
    <t>stimulus package divided by exchange rate</t>
  </si>
  <si>
    <t>stimulus package divided by GDP</t>
  </si>
  <si>
    <t>stimulus package divided by population</t>
  </si>
  <si>
    <t>Vanuatu's PM quoted as saying that economic forecast downgraded from 3.8% to 1.9% as of Apr 2020.</t>
  </si>
  <si>
    <t>https://www.adb.org/publications/pacific-economic-monitor-july-2020</t>
  </si>
  <si>
    <t>2020 GDP forecast for Vanuatu by the ADB, as of July 2020.</t>
  </si>
  <si>
    <t>external assistance divided by GDP</t>
  </si>
  <si>
    <r>
      <t xml:space="preserve">According to DOFT Vanuatu, small and medium enterprises (SME) with turnover of less than VUV200 million will also receive the value of their business license fees (around VUV400 million in total), which is about USD 3.5 million.
Commodity support grant of VT 300 million (about USD 2.63 million)
Shipping support of VT 100 million (about USD 0.875 million)
TOTAL: </t>
    </r>
    <r>
      <rPr>
        <sz val="10"/>
        <color rgb="FF00B050"/>
        <rFont val="Calibri"/>
        <family val="2"/>
        <scheme val="minor"/>
      </rPr>
      <t>USD 7 million</t>
    </r>
  </si>
  <si>
    <r>
      <t xml:space="preserve">The government introduced the Employment Stabilization Payment scheme reimburses employers up to VUV30,000 per employee per month for 4 months, plus an additional 15% to the employer, with payments totalling VUV2.5 billion. This is equivalent to USD 21.9 million.
Tuition fee exemption of VT 510.3 million (USD 4.47 million)
TOTAL:  </t>
    </r>
    <r>
      <rPr>
        <sz val="10"/>
        <color rgb="FF00B050"/>
        <rFont val="Calibri"/>
        <family val="2"/>
        <scheme val="minor"/>
      </rPr>
      <t>USD 26.37 million</t>
    </r>
  </si>
  <si>
    <t>PACIFIC COVID ECONOMIC DATABASE</t>
  </si>
  <si>
    <t>page 54, table 8, net borrowing</t>
  </si>
  <si>
    <t>Debt (% GDP) (pre-COVID)</t>
  </si>
  <si>
    <t>Debt (% GDP) (post-COVID)</t>
  </si>
  <si>
    <t>Not included</t>
  </si>
  <si>
    <t>No information, but could be assumed to be zero, ie. not included.
According to Fidelis Magalhães, Timor-Leste’s Minister of Legislative Reforms and Parliamentary Affairs, and acting Minister Coordinator of Economic Affairs, "..To fully leverage an appropriate response, both the health and economic measures rely on a Petroleum Fund that enjoys a strong fiscal position, valued in March 2020 at $17 billion. The fund is meant to act as a buffer when the nation faces grave fluctuations and volatilities and it is precisely during health and economic crises like those brought by COVID-19 that the Fund can help us avoid one of the worst negative socioeconomic shocks our country will endure. People’s lives come first. The Fund can fund health measures and cushion against the looming economic downturn and its value can be maintained through fiscally prudent withdrawals. Its assets, even after funding health initiatives and an economic stimulus package, will remain roughly 10 times annual GDP."</t>
  </si>
  <si>
    <t>The government announcement appears to be fully self-financed.</t>
  </si>
  <si>
    <t>4000*</t>
  </si>
  <si>
    <t>As per the notes above, we assume no new lending on top of already large budget deficit</t>
  </si>
  <si>
    <t>The stimulus measure announced a K2.5 billion COVID-19 Treasury Bond and K1.b in official support from the IMF, WB and ADB, making K4 billion. However, it is not clear whether this is additional lending on top of the alrearly large budget deficit; in our calculations we treat it as non-additional.</t>
  </si>
  <si>
    <t>Deficit goes up due to GDP going down.</t>
  </si>
  <si>
    <t>See discussion of lending below; no new lending but debt/GDP goes up as GDP goes down</t>
  </si>
  <si>
    <t>K0.5 billion from existing or planned superannuation savings - allowing employees access to additional savings. However, measure delayed to August as per Devpolicy blog.</t>
  </si>
  <si>
    <t xml:space="preserve">http://www.looppng.com/coronavirus/k56bn-economic-stimulus-package-announced-91169         https://devpolicy.org/pngs-job-crisis-and-covid-19-20200807/ </t>
  </si>
  <si>
    <t>Total expenditure (% GDP)</t>
  </si>
  <si>
    <t>Sectoral expenditure (% GDP)</t>
  </si>
  <si>
    <t>(source: refer to overview tabs for figures and individual country tabs for details)</t>
  </si>
  <si>
    <t>Total</t>
  </si>
  <si>
    <t xml:space="preserve">D2. EXPENDITURE </t>
  </si>
  <si>
    <t>Additional expenditure (in million LCU)</t>
  </si>
  <si>
    <t>RAW DATA</t>
  </si>
  <si>
    <t>Million LCU unless otherwise stated</t>
  </si>
  <si>
    <t>18/19 a</t>
  </si>
  <si>
    <t>19/20 e</t>
  </si>
  <si>
    <t>20/21 b</t>
  </si>
  <si>
    <t>Source</t>
  </si>
  <si>
    <t>Own revenue</t>
  </si>
  <si>
    <t>In the COVID-19 Response Budget, total revenues were</t>
  </si>
  <si>
    <t>Grants</t>
  </si>
  <si>
    <t>from Table 7.1 includes aid in kind</t>
  </si>
  <si>
    <t>Table 2</t>
  </si>
  <si>
    <t>2020/21 budget in GFS format (p. 42)</t>
  </si>
  <si>
    <t>revised downward from $3.5 billion to $2.5 billion (a reduction of $984 million</t>
  </si>
  <si>
    <t>Total revenue</t>
  </si>
  <si>
    <t>Table 4.3, excluding SEG13 VAT</t>
  </si>
  <si>
    <t>or 28.0%), while total expenditures were reduced from $3.8 billion to $3.5 billion</t>
  </si>
  <si>
    <t>Expenditure</t>
  </si>
  <si>
    <t>(a reduction of $304 million or 7.9%).</t>
  </si>
  <si>
    <t>3.6 of 2020-21 fiscal strategy</t>
  </si>
  <si>
    <t>Table 4.1</t>
  </si>
  <si>
    <t>Debt (% GDP)</t>
  </si>
  <si>
    <t>Table 5.1 &amp; 3.1</t>
  </si>
  <si>
    <t>pp. 10, 51</t>
  </si>
  <si>
    <t>Nominal GDP</t>
  </si>
  <si>
    <t>Table 4.3</t>
  </si>
  <si>
    <t>Table 4.2</t>
  </si>
  <si>
    <t>Table 12</t>
  </si>
  <si>
    <t>GDP growth</t>
  </si>
  <si>
    <t>Figure 1.3</t>
  </si>
  <si>
    <t>Inflation</t>
  </si>
  <si>
    <t>Republic of Fiji: Economic and Fiscal Update Supplement to the 2020-21 Budget address</t>
  </si>
  <si>
    <t>Government of Samoa Fiscal Strategy Statement 2020/21 Main Estimates except for 18/19 own revenue, grants, total revenue and expenditure</t>
  </si>
  <si>
    <t>Government of Tonga 2020-2021 Budget Statement</t>
  </si>
  <si>
    <t>a-actuals</t>
  </si>
  <si>
    <t>e-estimates</t>
  </si>
  <si>
    <t>b-budget</t>
  </si>
  <si>
    <t>Safety net support</t>
  </si>
  <si>
    <t>Fiji: $100 m for unemployed in 2020-21 budget speech</t>
  </si>
  <si>
    <t>Samoa: social benefits up from 31.1 2019-20 budget to 31.1 in 19-20 and 39.2 in 20-21 in 2020-21 budget., this is 0.3% of GDP; unemployment subsidy mentioned but not quantified.</t>
  </si>
  <si>
    <t>Tonga: social benefits from 25.3 in 18.19 actuals to 28.0 in 20/21 budget</t>
  </si>
  <si>
    <t>Debt stock</t>
  </si>
  <si>
    <t>INFLATION ADJUSTED</t>
  </si>
  <si>
    <t>Inflation index</t>
  </si>
  <si>
    <t>18/19</t>
  </si>
  <si>
    <t>19/20</t>
  </si>
  <si>
    <t>20/21</t>
  </si>
  <si>
    <t>Aid</t>
  </si>
  <si>
    <t>Deficit/GDP</t>
  </si>
  <si>
    <t>Debt/GDP</t>
  </si>
  <si>
    <t>Deficits</t>
  </si>
  <si>
    <t>Rank by arrivals per capita</t>
  </si>
  <si>
    <t>Rank by GDP hit</t>
  </si>
  <si>
    <t>GDP hit</t>
  </si>
  <si>
    <t>Tourism</t>
  </si>
  <si>
    <t>RMI</t>
  </si>
  <si>
    <t>Data from database: World Development Indicators</t>
  </si>
  <si>
    <t>Last Updated: 10/28/2019</t>
  </si>
  <si>
    <t>Includes developing countries.</t>
  </si>
  <si>
    <t>Year</t>
  </si>
  <si>
    <t>Country Name (Year most recent data across all indicators)</t>
  </si>
  <si>
    <t>Tourism/GDP</t>
  </si>
  <si>
    <t>Tourism receipts current US$</t>
  </si>
  <si>
    <t>GDP current US$</t>
  </si>
  <si>
    <t>Vanuatu (2014)</t>
  </si>
  <si>
    <t>Fiji (2016)</t>
  </si>
  <si>
    <t>Palau (2016)</t>
  </si>
  <si>
    <t>Solomon Islands (2015)</t>
  </si>
  <si>
    <t>Papua New Guinea (2017)</t>
  </si>
  <si>
    <t>Marshall Islands (2018)</t>
  </si>
  <si>
    <t>Samoa (2018)</t>
  </si>
  <si>
    <t>FSM (2015)</t>
  </si>
  <si>
    <t>Tonga (2018)</t>
  </si>
  <si>
    <t>Kiribati (2017)</t>
  </si>
  <si>
    <t>Timor-Leste (2018)</t>
  </si>
  <si>
    <t>Oil</t>
  </si>
  <si>
    <t>Gold</t>
  </si>
  <si>
    <t>Timber</t>
  </si>
  <si>
    <t>Palm oil</t>
  </si>
  <si>
    <t>Coffee</t>
  </si>
  <si>
    <t>Tuna</t>
  </si>
  <si>
    <t>B</t>
  </si>
  <si>
    <t>BR</t>
  </si>
  <si>
    <t>W</t>
  </si>
  <si>
    <t>M</t>
  </si>
  <si>
    <t xml:space="preserve">Monthly frozen (whole) skipjack tuna raw material prices (Bangkok landings, WPO) https://investor.thaiunion.com/raw_material.html </t>
  </si>
  <si>
    <t>DATA</t>
  </si>
  <si>
    <t>Index</t>
  </si>
  <si>
    <t>US$/metric tonne</t>
  </si>
  <si>
    <t>2020M07</t>
  </si>
  <si>
    <t>INDEX</t>
  </si>
  <si>
    <t xml:space="preserve">Jan </t>
  </si>
  <si>
    <t>Feb</t>
  </si>
  <si>
    <t>Mar</t>
  </si>
  <si>
    <t>Apr</t>
  </si>
  <si>
    <t xml:space="preserve">May </t>
  </si>
  <si>
    <t>Jun</t>
  </si>
  <si>
    <t>July</t>
  </si>
  <si>
    <t>Source: http://pubdocs.worldbank.org/en/561011486076393416/CMO-Historical-Data-Monthly.xlsx</t>
  </si>
  <si>
    <t/>
  </si>
  <si>
    <t xml:space="preserve">    Fiji</t>
  </si>
  <si>
    <t xml:space="preserve">    Timor-Leste</t>
  </si>
  <si>
    <t xml:space="preserve">    Palau</t>
  </si>
  <si>
    <t xml:space="preserve">    Samoa</t>
  </si>
  <si>
    <t xml:space="preserve">    Kiribati</t>
  </si>
  <si>
    <t xml:space="preserve">    Vanuatu</t>
  </si>
  <si>
    <t xml:space="preserve">    Solomon Islands</t>
  </si>
  <si>
    <t xml:space="preserve">    Tonga</t>
  </si>
  <si>
    <t xml:space="preserve">    Nauru</t>
  </si>
  <si>
    <t xml:space="preserve">    Tuvalu</t>
  </si>
  <si>
    <t xml:space="preserve">    FSM</t>
  </si>
  <si>
    <t xml:space="preserve">    Marshall Islands</t>
  </si>
  <si>
    <t>i</t>
  </si>
  <si>
    <t>Recipient</t>
  </si>
  <si>
    <t>Unit</t>
  </si>
  <si>
    <t>Current Prices</t>
  </si>
  <si>
    <t>Amount type</t>
  </si>
  <si>
    <t>1 : Part I - Developing Countries</t>
  </si>
  <si>
    <t>Part</t>
  </si>
  <si>
    <t>ODA as % GNI (Recipient)</t>
  </si>
  <si>
    <t>Aid type</t>
  </si>
  <si>
    <t>DAC Countries, Total</t>
  </si>
  <si>
    <t>Donor</t>
  </si>
  <si>
    <t>Dataset: Aid (ODA) disbursements to countries and regions [DAC2a]</t>
  </si>
  <si>
    <t>Data extracted on 27 Nov 2019 04:05 UTC (GMT) from OECD.Stat</t>
  </si>
  <si>
    <t xml:space="preserve">    Papua New Guinea</t>
  </si>
  <si>
    <t xml:space="preserve">    Micronesia</t>
  </si>
  <si>
    <t>Sorry, the query is too large to fit into the Excel cell. You will not be able to update your table with the .Stat Populator.</t>
  </si>
  <si>
    <t xml:space="preserve">    PNG</t>
  </si>
  <si>
    <t>Ministry of Finance's 2019 budget book</t>
  </si>
  <si>
    <t>Ministry of Finance's 2018 budget book</t>
  </si>
  <si>
    <t>Correlation</t>
  </si>
  <si>
    <t>global aid dependency ranks based on aid/GNI (1=most dependent, 143=least dependent)</t>
  </si>
  <si>
    <t>in millions of FJD</t>
  </si>
  <si>
    <t>in millions of tala</t>
  </si>
  <si>
    <t xml:space="preserve">(source for Fiji data: Total remittances from Reserve Bank of Fiji, Table 8.6)
</t>
  </si>
  <si>
    <t>(Source for Samoa data: Central Bank of Samoa, Summary Table 2, Gross Private Remittances, June 2020)</t>
  </si>
  <si>
    <t>Remittances into Fiji and Samoa</t>
  </si>
  <si>
    <t>Source: https://www.adb.org/sites/default/files/publication/622796/covid-19-impact-migration-remittances-asia.pdf</t>
  </si>
  <si>
    <t xml:space="preserve">Region </t>
  </si>
  <si>
    <t>Income status</t>
  </si>
  <si>
    <t xml:space="preserve">Announced/ estimated fiscal support package (in million USD)
</t>
  </si>
  <si>
    <t>Percentage of GDP</t>
  </si>
  <si>
    <t xml:space="preserve">Aruba </t>
  </si>
  <si>
    <t>Latin America and the Caribbean</t>
  </si>
  <si>
    <t>High-Income Economy</t>
  </si>
  <si>
    <t>East Asia and Pacific</t>
  </si>
  <si>
    <t>Austria</t>
  </si>
  <si>
    <t>Europe and Central Asia</t>
  </si>
  <si>
    <t>Belgium</t>
  </si>
  <si>
    <t xml:space="preserve">Canada </t>
  </si>
  <si>
    <t>North America</t>
  </si>
  <si>
    <t>Chile</t>
  </si>
  <si>
    <t>Croatia</t>
  </si>
  <si>
    <t xml:space="preserve">Czech Republic </t>
  </si>
  <si>
    <t xml:space="preserve">Denmark </t>
  </si>
  <si>
    <t xml:space="preserve">Estonia </t>
  </si>
  <si>
    <t xml:space="preserve">Finland </t>
  </si>
  <si>
    <t xml:space="preserve">France </t>
  </si>
  <si>
    <t>Germany</t>
  </si>
  <si>
    <t>Greece</t>
  </si>
  <si>
    <t>Hong Kong</t>
  </si>
  <si>
    <t xml:space="preserve">Hungary </t>
  </si>
  <si>
    <t xml:space="preserve">Iceland </t>
  </si>
  <si>
    <t xml:space="preserve">Ireland </t>
  </si>
  <si>
    <t xml:space="preserve">Israel </t>
  </si>
  <si>
    <t>Middle East and North Africa</t>
  </si>
  <si>
    <t>Italy</t>
  </si>
  <si>
    <t xml:space="preserve">Japan </t>
  </si>
  <si>
    <t>Latvia</t>
  </si>
  <si>
    <t xml:space="preserve">Lithuania </t>
  </si>
  <si>
    <t>Luxembourg</t>
  </si>
  <si>
    <t>Netherlands</t>
  </si>
  <si>
    <t xml:space="preserve">New Zealand </t>
  </si>
  <si>
    <t>Norway</t>
  </si>
  <si>
    <t>Poland</t>
  </si>
  <si>
    <t xml:space="preserve">Portugal </t>
  </si>
  <si>
    <t>Qatar</t>
  </si>
  <si>
    <t>Singapore</t>
  </si>
  <si>
    <t xml:space="preserve">Slovakia </t>
  </si>
  <si>
    <t xml:space="preserve">Slovenia </t>
  </si>
  <si>
    <t>Spain</t>
  </si>
  <si>
    <t>Switzerland</t>
  </si>
  <si>
    <t xml:space="preserve">UK </t>
  </si>
  <si>
    <t>USA - Federal Reserve</t>
  </si>
  <si>
    <t>South Korea</t>
  </si>
  <si>
    <t>Afghanistan</t>
  </si>
  <si>
    <t>South Asia</t>
  </si>
  <si>
    <t>Low-Income Economy</t>
  </si>
  <si>
    <t>Albania</t>
  </si>
  <si>
    <t>Upper-Middle-Income Economy</t>
  </si>
  <si>
    <t>Algeria</t>
  </si>
  <si>
    <t>Angola</t>
  </si>
  <si>
    <t>Sub-Saharan Africa</t>
  </si>
  <si>
    <t>Lower-Middle Income Economy</t>
  </si>
  <si>
    <t>Argentina</t>
  </si>
  <si>
    <t xml:space="preserve">Armenia </t>
  </si>
  <si>
    <t>Azerbaijan</t>
  </si>
  <si>
    <t>Bangladesh</t>
  </si>
  <si>
    <t xml:space="preserve">Belize </t>
  </si>
  <si>
    <t>Benin</t>
  </si>
  <si>
    <t>Botswana</t>
  </si>
  <si>
    <t>Bulgaria</t>
  </si>
  <si>
    <t>Burkina Faso</t>
  </si>
  <si>
    <t>Burundi</t>
  </si>
  <si>
    <t>Cabo Verde</t>
  </si>
  <si>
    <t>Cameroon</t>
  </si>
  <si>
    <t>Central African Republic</t>
  </si>
  <si>
    <t>Chad</t>
  </si>
  <si>
    <t>China (Mainland)</t>
  </si>
  <si>
    <t>Comoros</t>
  </si>
  <si>
    <t>CÃ´te d'Ivoire</t>
  </si>
  <si>
    <t>Democratic Republic of Congo</t>
  </si>
  <si>
    <t>Djibouti</t>
  </si>
  <si>
    <t>Egypt</t>
  </si>
  <si>
    <t>Eritrea</t>
  </si>
  <si>
    <t>Eswatini</t>
  </si>
  <si>
    <t xml:space="preserve">Ethiopia </t>
  </si>
  <si>
    <t>Gabon</t>
  </si>
  <si>
    <t>Gambia</t>
  </si>
  <si>
    <t>Ghana</t>
  </si>
  <si>
    <t>Guinea</t>
  </si>
  <si>
    <t>Guinea-Bissau</t>
  </si>
  <si>
    <t>India</t>
  </si>
  <si>
    <t>Indonesia</t>
  </si>
  <si>
    <t>Iran</t>
  </si>
  <si>
    <t>Kenya</t>
  </si>
  <si>
    <t>Lesotho</t>
  </si>
  <si>
    <t>Liberia</t>
  </si>
  <si>
    <t>Libya</t>
  </si>
  <si>
    <t xml:space="preserve">Madagascar </t>
  </si>
  <si>
    <t>Malawi</t>
  </si>
  <si>
    <t>Malaysia</t>
  </si>
  <si>
    <t>Mali</t>
  </si>
  <si>
    <t xml:space="preserve">Mauritius </t>
  </si>
  <si>
    <t>Morocco</t>
  </si>
  <si>
    <t>Mozambique</t>
  </si>
  <si>
    <t>Myanmar</t>
  </si>
  <si>
    <t>Namibia</t>
  </si>
  <si>
    <t>Niger</t>
  </si>
  <si>
    <t xml:space="preserve">Nigeria </t>
  </si>
  <si>
    <t>Pakistan</t>
  </si>
  <si>
    <t>Romania</t>
  </si>
  <si>
    <t>Russia</t>
  </si>
  <si>
    <t xml:space="preserve">Rwanda </t>
  </si>
  <si>
    <t>Senegal</t>
  </si>
  <si>
    <t>Serbia</t>
  </si>
  <si>
    <t>Sierra Leone</t>
  </si>
  <si>
    <t xml:space="preserve">South Africa </t>
  </si>
  <si>
    <t>South Sudan</t>
  </si>
  <si>
    <t xml:space="preserve">Sri Lanka </t>
  </si>
  <si>
    <t>Developing</t>
  </si>
  <si>
    <t>Sudan</t>
  </si>
  <si>
    <t>Tanzania</t>
  </si>
  <si>
    <t>Thailand</t>
  </si>
  <si>
    <t>Togo</t>
  </si>
  <si>
    <t>Tunisia</t>
  </si>
  <si>
    <t>Turkey</t>
  </si>
  <si>
    <t>Uganda</t>
  </si>
  <si>
    <t>Zambia</t>
  </si>
  <si>
    <t>Zimbabwe</t>
  </si>
  <si>
    <t>Haiti</t>
  </si>
  <si>
    <t>North Korea</t>
  </si>
  <si>
    <t>Nepal</t>
  </si>
  <si>
    <t>Tajikistan</t>
  </si>
  <si>
    <t>Yemen</t>
  </si>
  <si>
    <t>Western Asia</t>
  </si>
  <si>
    <t>Bhutan</t>
  </si>
  <si>
    <t>Bolivia</t>
  </si>
  <si>
    <t>Cambodia</t>
  </si>
  <si>
    <t>El Salvador</t>
  </si>
  <si>
    <t>Honduras</t>
  </si>
  <si>
    <t>Kyrgyz Republic</t>
  </si>
  <si>
    <t>Lao</t>
  </si>
  <si>
    <t>Mauritania</t>
  </si>
  <si>
    <t>Moldova</t>
  </si>
  <si>
    <t>Mongolia</t>
  </si>
  <si>
    <t>Philippines</t>
  </si>
  <si>
    <t>Nicaragua</t>
  </si>
  <si>
    <t>SÃ£o TomÃ© and Principe</t>
  </si>
  <si>
    <t>Ave % GDP</t>
  </si>
  <si>
    <t>Developed</t>
  </si>
  <si>
    <t>Million USD (lhs)</t>
  </si>
  <si>
    <t>% GDP (rhs)</t>
  </si>
  <si>
    <t>External assistance announced (as of 12 Aug 2020)</t>
  </si>
  <si>
    <t>Ave. amount (in billion USD)</t>
  </si>
  <si>
    <t>Expenditure as % of GDP</t>
  </si>
  <si>
    <t>Taken from Grattan Institute ((https://blog.grattan.edu.au/2020/04/covid-19-australias-fiscal-response-is-now-among-the-biggest-in-the-world/))</t>
  </si>
  <si>
    <t>Taken from Overview tab of this worksheet. Refer to individual country tabs for more details.</t>
  </si>
  <si>
    <t>Average of High-income countries from the IGC database</t>
  </si>
  <si>
    <t>Average of non-high-income countries from the IGC database</t>
  </si>
  <si>
    <t>(source: IGC data on the left. Developed countries were taken to be high-income countries as classified by IGC. Other countries were considered developing countries.)</t>
  </si>
  <si>
    <t>Summary of IGC data</t>
  </si>
  <si>
    <t>(information from International Growth Centre downloaded 08 June 2020: https://www.theigc.org/covid-19/tracker/)</t>
  </si>
  <si>
    <t>Expenditure as % of GDP chart - pasted by value so can sort</t>
  </si>
  <si>
    <t xml:space="preserve">% GDP </t>
  </si>
  <si>
    <t>Sorted to produce graph of external assistance as % GDP in ascending order</t>
  </si>
  <si>
    <t>I. EXTERNAL ASSISTANCE from outbreak to 12 August 2020 (in million USD)</t>
  </si>
  <si>
    <t>DEFINITIONS</t>
  </si>
  <si>
    <t>The 2019 population of the different countries provided by World Bank</t>
  </si>
  <si>
    <t>The 2019 GDP in current USD of the different countries provided by World Bank.</t>
  </si>
  <si>
    <t>The 2019 GDP per capita in current USD of the different countries provided by World Bank.</t>
  </si>
  <si>
    <t>The exchange rate of local currency units to USD on 22 July 2020.</t>
  </si>
  <si>
    <t>The fiscal balance in local currency units forecasted for 2020 before the pandemic</t>
  </si>
  <si>
    <t>The name of the local currency unit of each country</t>
  </si>
  <si>
    <t>The 2020 GDP level predicted before COVID-19</t>
  </si>
  <si>
    <t>The GDP growth rate forecasted for 2020 before COVID-19</t>
  </si>
  <si>
    <t>The 2020 GDP level predicted during COVID-19</t>
  </si>
  <si>
    <t>The GDP growth rate forecasted for 2020 during COVID-19</t>
  </si>
  <si>
    <t>The fiscal balance in local currency units forecasted for 2020 during the pandemic</t>
  </si>
  <si>
    <t>The 2020 government revenue levels predicted before COVID-19</t>
  </si>
  <si>
    <t>The 2020 government revenue levels predicted during COVID-19</t>
  </si>
  <si>
    <t>The expected fall in 2020 domestic revenue levels in proportion to total domestic revenue</t>
  </si>
  <si>
    <t>Section B highlights the economic impact to countries through several indicators</t>
  </si>
  <si>
    <t>The 2020 debt-to-GDP levels of countries predicted before COVID-19</t>
  </si>
  <si>
    <t>The expected 2020 debt-to-GDP levels of countries predicted during COVID-19</t>
  </si>
  <si>
    <t>The risk of external debt distress provided by the World Bank in Sep 2019</t>
  </si>
  <si>
    <t>The risk of external debt distress provided by the World Bank in Aug 2020</t>
  </si>
  <si>
    <t>The COVID-19 stimulus package value in local currency units</t>
  </si>
  <si>
    <t>The COVID-19 stimulus package value in USD, based on the 22 July 2020 exchange rate</t>
  </si>
  <si>
    <t>The COVID-19 stimulus package in proportion to the GDP level of each country</t>
  </si>
  <si>
    <t>The COVID-19 stimulus package in proportion to the population of each country</t>
  </si>
  <si>
    <t>Section D1 outlines the tax measures announced in response to COVID-19</t>
  </si>
  <si>
    <t>Has the government accorded priority processing of GST refunds? (Yes or No)</t>
  </si>
  <si>
    <t>Has the government introduced tax cuts? (Yes or No)</t>
  </si>
  <si>
    <t>The value of expenditure in response to COVID-19 announced, in local currency units</t>
  </si>
  <si>
    <t>Has the government introduced unemployment or cash benefits? (Yes or No)</t>
  </si>
  <si>
    <t>The value of expenditure in response to COVID-19 announced, in USD</t>
  </si>
  <si>
    <t>The amount of additional expenditure allocated to health, in USD</t>
  </si>
  <si>
    <t>The amount of additional expenditure allocated to ensuring food security, in USD</t>
  </si>
  <si>
    <t>The amount of additional expenditure allocated as safety net expenditure, in USD</t>
  </si>
  <si>
    <t>The amount of additional expenditure allocated to support businesses, in USD</t>
  </si>
  <si>
    <t>The amount of additional expenditure allocated as infrastructure expenditure, in USD</t>
  </si>
  <si>
    <t>The amount of additional expenditure in proportion to GDP</t>
  </si>
  <si>
    <t>The amount of additional expenditure in proportion to population</t>
  </si>
  <si>
    <t>Section D2 outlines the government expenditure announced in response to COVID-19</t>
  </si>
  <si>
    <t>The amount of additional borrowing to finance the COVID-19 stimulus package</t>
  </si>
  <si>
    <t>The projected 2020 budget deficit announced during COVID-19</t>
  </si>
  <si>
    <t>The projected 2020 fiscal balance announced durign COVID-19</t>
  </si>
  <si>
    <t>Has the government granted early access to superannuation savings? (Yes or No)</t>
  </si>
  <si>
    <t>Has the government allowed deferral of superannuation contributions? (Yes or No)</t>
  </si>
  <si>
    <t>Have the country's financial institutions extended credit to the population? (Yes or No)</t>
  </si>
  <si>
    <t>Has the country introduced a loan repayment holiday? (Yes or No)</t>
  </si>
  <si>
    <t>Has the country's monetary policy been relaxed during COVID-19? (Yes or No)</t>
  </si>
  <si>
    <t>Has the central bank lowered the cash reserves requirement? (Yes or No)</t>
  </si>
  <si>
    <t>Has the central bank lowered the discount rate? (Yes or No)</t>
  </si>
  <si>
    <t>Has the central bank used open market purchases as part of its COVID-19 monetary policy? (Yes or No)</t>
  </si>
  <si>
    <t>The country's exchange rate policy in response to COVID-19 and the change in USD/LCU exchange rate between 1 Mar 2020 and 22 Jul 2020</t>
  </si>
  <si>
    <t>The total amount of COVID-19 external assistance received between the start of the break and 12 Aug 2020, in million USD</t>
  </si>
  <si>
    <t>This is the sum of the SBD 309 million stimulus package announced on page 12 and the total expenditure pressure of SBD 139.7 announced on page 11 of the document. Total expenditure pressures include COVID-19 response operational plan pressures and the cost of repatriating public servants.</t>
  </si>
  <si>
    <t xml:space="preserve">This is the sum of the SBD 309 million stimulus package announced on page 12 and the total expenditure pressure of SBD 139.7 announced on page 11 of the document. Total expenditure pressures include COVID-19 response operational plan pressures and the cost of repatriating public servants.
Breakdown of the SBD 309 million provided in Table 1, pages 5-7 of the stimulus package booklet. 
The SBD 309 million stimulus package is entirely composed of expenditure. Tax cuts and other measures are not included in the stimulus package.
</t>
  </si>
  <si>
    <t>The external assistance that each country assumed at the time its government announced its stimulus package, as of 12 Aug 2020</t>
  </si>
  <si>
    <t>The amount of COVID-19 external assistance received in proportion to GDP, as of 12 Aug 2020</t>
  </si>
  <si>
    <t>The amount of COVID-19 external assistance received from ADB, in million USD, as of 12 Aug 2020</t>
  </si>
  <si>
    <t>The amount of COVID-19 external assistance received from World Bank, in million USD, as of 12 Aug 2020</t>
  </si>
  <si>
    <t>The amount of COVID-19 external assistance received from IMF, in million USD, as of 12 Aug 2020</t>
  </si>
  <si>
    <t>The amount of COVID-19 external assistance received from Australia, in million USD, as of 12 Aug 2020</t>
  </si>
  <si>
    <t>The amount of COVID-19 external assistance received from other countries and organisations, in million USD, as of 12 Aug 2020</t>
  </si>
  <si>
    <t>Section C measures the COVID-19 stimulus packages across several metrics</t>
  </si>
  <si>
    <t>The fiscal year adopted by each country</t>
  </si>
  <si>
    <t>From Page 17, SIG Stimulus Package booklet:
SBD 120 million COVID-19 domestic development bond
SBD 20 million bond/treasury bill - DBSI
SBD 20 million SIG budget
This sum of SBD 160 million plus external financing of SBD 446 million LCU listed below is SBD 606 million.</t>
  </si>
  <si>
    <t>Reserves</t>
  </si>
  <si>
    <t>External assistance</t>
  </si>
  <si>
    <t>Surplus</t>
  </si>
  <si>
    <t>Notes:</t>
  </si>
  <si>
    <t>2. For PNG, it is assumed that there is no borrowing in addition to what was already incorporated into the 2020 budget</t>
  </si>
  <si>
    <t>Constrained</t>
  </si>
  <si>
    <t>Aid-financed</t>
  </si>
  <si>
    <t>COVID spend</t>
  </si>
  <si>
    <t>Revenue shortfall</t>
  </si>
  <si>
    <t>Financed by:</t>
  </si>
  <si>
    <t>Grant &amp; loan financing</t>
  </si>
  <si>
    <t>Domestic borrowing</t>
  </si>
  <si>
    <t>Expenditure savings</t>
  </si>
  <si>
    <t>1. Fiji borrowing includes concessional external financing, which is not quantified separately; therefore cannot separate out grant and loan financing</t>
  </si>
  <si>
    <t>3. Domestic borrowing/external assistance split for SI obtained from SIG Economic Stimulus Package, Table 5.0. p. 17</t>
  </si>
  <si>
    <t>5. Expenditure savings obtained by deduction</t>
  </si>
  <si>
    <t>3. The stimulus "surplus" for SI obtained from SIG Economic Stimulus Package, p. 12</t>
  </si>
  <si>
    <t>Financing of COVID spend summary (LCU)</t>
  </si>
  <si>
    <t>GDP (LCU)</t>
  </si>
  <si>
    <t>Financing of COVID spend summary (% GDP)</t>
  </si>
  <si>
    <t>Last data update</t>
  </si>
  <si>
    <t>Objective</t>
  </si>
  <si>
    <t xml:space="preserve">To assess what countries are doing on the economic front to respond to COVID-19, we have created a COVID Pacific Economic Database, drawing on national and international sources, as outlined below. The purpose of the Database is to understantd better the responses of Pacific governments. It will be updated periodically. </t>
  </si>
  <si>
    <t>Contact</t>
  </si>
  <si>
    <t xml:space="preserve">Multiple sources were used to put together this database. As such, not all data may be consistent and there could still be gaps. We welcome feedback. </t>
  </si>
  <si>
    <t>Please help us improve this database by providing your feedback and suggestions. Contact us at stephen.howes@anu.edu.au or sherman.surandiran@anu.edu.au</t>
  </si>
  <si>
    <r>
      <t>Definitions of the categories used in this spreadsheet can be found in the 'Definitions' worksheet.
Countries are sorted into columns on the overview worksheet and various economic indicators and policy responses are populated in the rows below each country. 
Individual country worksheets (coloured</t>
    </r>
    <r>
      <rPr>
        <sz val="11"/>
        <rFont val="Calibri"/>
        <family val="2"/>
        <scheme val="minor"/>
      </rPr>
      <t xml:space="preserve"> green</t>
    </r>
    <r>
      <rPr>
        <sz val="11"/>
        <color theme="1"/>
        <rFont val="Calibri"/>
        <family val="2"/>
        <scheme val="minor"/>
      </rPr>
      <t xml:space="preserve">) have also been created with more detailed information about the different indicators and policies, including from additional sources of information
The 2020-21 national budgets of the countries will also be analysed when they are released.  Analysis of these budgets can be found in blue-coloured tabs (named 'Budget 2020-21' and 'Workings'). As of 17 August 2020, Fiji, Samoa and Tonga have released their 2020-21 national budgets.
Analysis of the stimulus packages and related charts produced are sorted into separate tabs (coloured yellow) and named accordingly.
</t>
    </r>
  </si>
  <si>
    <t xml:space="preserve">First stimulus package: https://samoaglobalnews.com/budget-address-by-samoa-minister-of-finance-on-covid-19-stimulus-package1/
</t>
  </si>
  <si>
    <t>Has the government extended tax deadlines? (Yes or No)</t>
  </si>
  <si>
    <r>
      <rPr>
        <b/>
        <u/>
        <sz val="10"/>
        <color theme="1"/>
        <rFont val="Calibri"/>
        <family val="2"/>
        <scheme val="minor"/>
      </rPr>
      <t>Breakdown of first stimulus package (66.3 million tala) - to be implemented over 3 to 6 months from April 2020</t>
    </r>
    <r>
      <rPr>
        <sz val="10"/>
        <color theme="1"/>
        <rFont val="Calibri"/>
        <family val="2"/>
        <scheme val="minor"/>
      </rPr>
      <t xml:space="preserve">
20.3 million tala allocated to the Health Sector
12.5 million tala dedicated to policies targeting the enablement of the Private Sector
- Assistance from the National Provident Fund (6-month moratorium for the hospitality sector, 2 months rent free at any SNPF property
-Assistance from the Accident Compensation Corporation
27.5 million tala dedicated to policies to secure the purchasing power of the citizens of Samoa
3.5 million tala for the Ministry of Agriculture to raise local produce
2.5 million tala to assist other sectors (police, education, communication, community outreach).
</t>
    </r>
    <r>
      <rPr>
        <b/>
        <u/>
        <sz val="10"/>
        <color theme="1"/>
        <rFont val="Calibri"/>
        <family val="2"/>
        <scheme val="minor"/>
      </rPr>
      <t xml:space="preserve">
Note: Second stimulus package announced as part of 2020-21 budget.</t>
    </r>
    <r>
      <rPr>
        <u/>
        <sz val="10"/>
        <color theme="1"/>
        <rFont val="Calibri"/>
        <family val="2"/>
        <scheme val="minor"/>
      </rPr>
      <t xml:space="preserve"> </t>
    </r>
    <r>
      <rPr>
        <b/>
        <u/>
        <sz val="10"/>
        <color theme="1"/>
        <rFont val="Calibri"/>
        <family val="2"/>
        <scheme val="minor"/>
      </rPr>
      <t>Not analysed here.</t>
    </r>
  </si>
  <si>
    <t>Note: Discrepancy between calculated and published deficit yet to be resolved.</t>
  </si>
  <si>
    <t>Fiscal Balance</t>
  </si>
  <si>
    <t>Balance (%GDP)</t>
  </si>
  <si>
    <t>Debt (%)</t>
  </si>
  <si>
    <t>Announcement month</t>
  </si>
  <si>
    <t>The month in which the COVID-19 stimulus package of each country was announced.</t>
  </si>
  <si>
    <t>Section D outlines the fiscal policies announced by governments in response to COVID-19 as part of its stimulus package</t>
  </si>
  <si>
    <t xml:space="preserve"> Section E outlines superannuation measures in response to COVID-19 as part of its stimulus package</t>
  </si>
  <si>
    <t>Section F outlines measures by financial institutions in response to COVID-19 as part of its stimulus package</t>
  </si>
  <si>
    <t>Section G outlines monetary policies announced in response to COVID-19 as part of its stimulus package</t>
  </si>
  <si>
    <t>Section D3 contains the amount borrowed to finance the stimulus package and the impact on the deficit and fiscal balance</t>
  </si>
  <si>
    <t>https://www.adb.org/sites/default/files/publication/542386/pem-december-2019.pdf</t>
  </si>
  <si>
    <t>Pre-pandemic 2020 fiscal balance (as % of GDP) forecast taken from ADB's Pacific Economic Monitor - December 2019, Latest Pacific Economic Updates table on page 44 (last page)</t>
  </si>
  <si>
    <t xml:space="preserve">Employment of women, youths and students to monitor State of Emergency regulations, especially Price Control regulations and tax related information. This is valued at SBD 5 million, (USD 0.61 million). Other forms of social assistance come in the form of support to resume schools and continued government payroll for civil servants.
</t>
  </si>
  <si>
    <t>From page 7 of booklet, 
SBD 39 million for two major wharves
SBD 30 million for major bridges
SBD 21 million to upgrade major domestic airports
Total: SBD 90 million (USD 11.03 million)</t>
  </si>
  <si>
    <t>From page 6 of booklet, 
SBD 20 million capital and equity injection into Solomon Airlines
SBD 5 million capital and equity injection into Solomon Water
SBD 5 million capital and equity injection into Soltuna
SBD 20 million capital and equity injection in DBSI (lending to rural areas and to small businesses to support rural employment and incomes)
SBD 18 million in concessional financial products to support large industries or tax payers through DBSI.
Total: SBD 68 million (USD 8.33 million)</t>
  </si>
  <si>
    <t>The loan and grant are funded through the COVID-19 pandemic response option (CPRO) under ADB’s Countercyclical Support Facility.</t>
  </si>
  <si>
    <t>3.5 million tala (USD 1.34 million) for the Ministry of Agriculture to raise local produce</t>
  </si>
  <si>
    <t>Self-funded</t>
  </si>
  <si>
    <t>Austraila</t>
  </si>
  <si>
    <t>Fiji unemployment assistance as % GDP</t>
  </si>
  <si>
    <t>$F100 million announced in the budget</t>
  </si>
  <si>
    <t>Unemployment benefit per fortnight in FJD converted to USD: see budget speech</t>
  </si>
  <si>
    <t>Ratio</t>
  </si>
  <si>
    <t>Jobseeker incl covid supplement post september in USD (xe.com, 26/8/20)</t>
  </si>
  <si>
    <t>https://c1acr951.caspio.com/dp/482E8000d02888e42bcd486f9644</t>
  </si>
  <si>
    <t>https://www.abc.net.au/news/2020-05-20/australia-financial-support-pacific-governments-cyclone-pandemic/12262328  &amp;  https://c1acr951.caspio.com/dp/482E8000d02888e42bcd486f9644
partnerships</t>
  </si>
  <si>
    <t>https://covid19policy.adb.org/policy-measures/FIJ
https://c1acr951.caspio.com/dp/482E8000d02888e42bcd486f9644</t>
  </si>
  <si>
    <t>https://www.businessadvantagepng.com/papua-new-guinea-treasurer-details-k600-million-stimulus-package/
https://c1acr951.caspio.com/dp/482E8000d02888e42bcd486f9644</t>
  </si>
  <si>
    <t>https://covid19policy.adb.org/policy-measures/PNG
https://devpolicy.org/chinas-coronavirus-covid-19-diplomacy-in-the-pacific-20200527-1/
https://c1acr951.caspio.com/dp/482E8000d02888e42bcd486f9644
https://postcourier.com.pg/us-commits-k4-2m-to-covid-19-response/</t>
  </si>
  <si>
    <t>https://covid19policy.adb.org/policy-measures/SOL
https://c1acr951.caspio.com/dp/482E8000d02888e42bcd486f9644</t>
  </si>
  <si>
    <t>https://www.worldbank.org/en/news/press-release/2020/05/13/tonga-us8-4-million-to-strengthen-resilience-and-fight-covid-19
https://covid19policy.adb.org/policy-measures/TON
https://c1acr951.caspio.com/dp/482E8000d02888e42bcd486f9644</t>
  </si>
  <si>
    <t>https://www.abc.net.au/news/2020-05-20/australia-financial-support-pacific-governments-cyclone-pandemic/12262328
https://c1acr951.caspio.com/dp/482E8000d02888e42bcd486f9644</t>
  </si>
  <si>
    <t>https://doft.gov.vu/index.php/covid-19
https://c1acr951.caspio.com/dp/482E8000d02888e42bcd486f9644#fiji</t>
  </si>
  <si>
    <t>https://covid19policy.adb.org/policy-measures/VAN
https://devpolicy.org/chinas-coronavirus-covid-19-diplomacy-in-the-pacific-20200527-1/
https://c1acr951.caspio.com/dp/482E8000d02888e42bcd486f9644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</si>
</sst>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_-* #,##0.0_-;\-* #,##0.0_-;_-* &quot;-&quot;??_-;_-@_-"/>
    <numFmt numFmtId="167" formatCode="#,##0.0"/>
    <numFmt numFmtId="168" formatCode="0.0"/>
    <numFmt numFmtId="169" formatCode="0.000%"/>
  </numFmts>
  <fonts count="5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0"/>
      <name val="Calibri"/>
      <family val="2"/>
      <scheme val="minor"/>
    </font>
    <font>
      <u/>
      <sz val="10"/>
      <color theme="1"/>
      <name val="Calibri"/>
      <family val="2"/>
      <scheme val="minor"/>
    </font>
    <font>
      <sz val="10"/>
      <name val="Calibri"/>
      <family val="2"/>
      <scheme val="minor"/>
    </font>
    <font>
      <b/>
      <sz val="11"/>
      <color theme="1"/>
      <name val="Calibri"/>
      <family val="2"/>
      <scheme val="minor"/>
    </font>
    <font>
      <sz val="12"/>
      <color rgb="FF00B0F0"/>
      <name val="Calibri"/>
      <family val="2"/>
      <scheme val="minor"/>
    </font>
    <font>
      <u/>
      <sz val="12"/>
      <color theme="1"/>
      <name val="Calibri"/>
      <family val="2"/>
      <scheme val="minor"/>
    </font>
    <font>
      <b/>
      <u/>
      <sz val="10"/>
      <color theme="1"/>
      <name val="Calibri"/>
      <family val="2"/>
      <scheme val="minor"/>
    </font>
    <font>
      <sz val="8"/>
      <name val="Calibri"/>
      <family val="2"/>
      <scheme val="minor"/>
    </font>
    <font>
      <sz val="11"/>
      <name val="Calibri"/>
      <family val="2"/>
      <scheme val="minor"/>
    </font>
    <font>
      <sz val="11"/>
      <color rgb="FFFF0000"/>
      <name val="Calibri"/>
      <family val="2"/>
      <scheme val="minor"/>
    </font>
    <font>
      <sz val="10"/>
      <color rgb="FFFF0000"/>
      <name val="Calibri"/>
      <family val="2"/>
      <scheme val="minor"/>
    </font>
    <font>
      <b/>
      <sz val="10"/>
      <color rgb="FFFF0000"/>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b/>
      <sz val="11"/>
      <name val="Calibri"/>
      <family val="2"/>
      <scheme val="minor"/>
    </font>
    <font>
      <b/>
      <sz val="11"/>
      <color rgb="FFFF0000"/>
      <name val="Calibri"/>
      <family val="2"/>
      <scheme val="minor"/>
    </font>
    <font>
      <b/>
      <i/>
      <sz val="11"/>
      <color theme="1"/>
      <name val="Calibri"/>
      <family val="2"/>
      <scheme val="minor"/>
    </font>
    <font>
      <b/>
      <i/>
      <sz val="11"/>
      <color rgb="FF00B0F0"/>
      <name val="Calibri"/>
      <family val="2"/>
      <scheme val="minor"/>
    </font>
    <font>
      <sz val="10"/>
      <color rgb="FF00B050"/>
      <name val="Calibri"/>
      <family val="2"/>
      <scheme val="minor"/>
    </font>
    <font>
      <sz val="9"/>
      <color indexed="81"/>
      <name val="Tahoma"/>
      <family val="2"/>
    </font>
    <font>
      <b/>
      <sz val="9"/>
      <color indexed="81"/>
      <name val="Tahoma"/>
      <family val="2"/>
    </font>
    <font>
      <b/>
      <i/>
      <sz val="14"/>
      <color theme="1"/>
      <name val="Calibri"/>
      <family val="2"/>
      <scheme val="minor"/>
    </font>
    <font>
      <b/>
      <sz val="14"/>
      <color theme="1"/>
      <name val="Calibri"/>
      <family val="2"/>
      <scheme val="minor"/>
    </font>
    <font>
      <b/>
      <i/>
      <sz val="16"/>
      <color rgb="FFFF0000"/>
      <name val="Calibri"/>
      <family val="2"/>
      <scheme val="minor"/>
    </font>
    <font>
      <b/>
      <i/>
      <sz val="14"/>
      <color rgb="FFFF0000"/>
      <name val="Calibri"/>
      <family val="2"/>
      <scheme val="minor"/>
    </font>
    <font>
      <b/>
      <sz val="12"/>
      <color theme="0"/>
      <name val="Calibri"/>
      <family val="2"/>
      <scheme val="minor"/>
    </font>
    <font>
      <b/>
      <i/>
      <sz val="12"/>
      <color rgb="FFFF0000"/>
      <name val="Calibri"/>
      <family val="2"/>
      <scheme val="minor"/>
    </font>
    <font>
      <b/>
      <sz val="12"/>
      <color rgb="FFFF0000"/>
      <name val="Calibri"/>
      <family val="2"/>
      <scheme val="minor"/>
    </font>
    <font>
      <b/>
      <i/>
      <sz val="14"/>
      <name val="Calibri"/>
      <family val="2"/>
      <scheme val="minor"/>
    </font>
    <font>
      <sz val="11"/>
      <color theme="1"/>
      <name val="Calibri"/>
      <family val="2"/>
    </font>
    <font>
      <b/>
      <i/>
      <sz val="11"/>
      <color rgb="FFFF0000"/>
      <name val="Calibri"/>
      <family val="2"/>
      <scheme val="minor"/>
    </font>
    <font>
      <i/>
      <sz val="11"/>
      <color rgb="FFFF0000"/>
      <name val="Calibri"/>
      <family val="2"/>
      <scheme val="minor"/>
    </font>
    <font>
      <b/>
      <sz val="11"/>
      <color theme="1"/>
      <name val="Calibri"/>
      <family val="2"/>
    </font>
    <font>
      <i/>
      <sz val="12"/>
      <color rgb="FFFF0000"/>
      <name val="Calibri"/>
      <family val="2"/>
      <scheme val="minor"/>
    </font>
    <font>
      <i/>
      <sz val="10"/>
      <color rgb="FFFF0000"/>
      <name val="Calibri"/>
      <family val="2"/>
      <scheme val="minor"/>
    </font>
    <font>
      <b/>
      <sz val="14"/>
      <color rgb="FFFF0000"/>
      <name val="Calibri"/>
      <family val="2"/>
      <scheme val="minor"/>
    </font>
    <font>
      <b/>
      <u/>
      <sz val="12"/>
      <color theme="1"/>
      <name val="Calibri"/>
      <family val="2"/>
      <scheme val="minor"/>
    </font>
    <font>
      <sz val="10"/>
      <name val="Arial"/>
      <family val="2"/>
    </font>
    <font>
      <b/>
      <sz val="10"/>
      <name val="Arial"/>
      <family val="2"/>
    </font>
    <font>
      <u/>
      <sz val="8"/>
      <name val="Verdana"/>
      <family val="2"/>
    </font>
    <font>
      <sz val="8"/>
      <name val="Arial"/>
      <family val="2"/>
    </font>
    <font>
      <b/>
      <sz val="9"/>
      <color indexed="10"/>
      <name val="Courier New"/>
      <family val="3"/>
    </font>
    <font>
      <sz val="8"/>
      <name val="Verdana"/>
      <family val="2"/>
    </font>
    <font>
      <b/>
      <sz val="8"/>
      <name val="Verdana"/>
      <family val="2"/>
    </font>
    <font>
      <sz val="8"/>
      <color indexed="9"/>
      <name val="Verdana"/>
      <family val="2"/>
    </font>
    <font>
      <b/>
      <sz val="8"/>
      <color indexed="9"/>
      <name val="Verdana"/>
      <family val="2"/>
    </font>
    <font>
      <b/>
      <u/>
      <sz val="9"/>
      <color indexed="18"/>
      <name val="Verdana"/>
      <family val="2"/>
    </font>
    <font>
      <b/>
      <sz val="12"/>
      <name val="Calibri"/>
      <family val="2"/>
      <scheme val="minor"/>
    </font>
    <font>
      <i/>
      <sz val="10"/>
      <color theme="4"/>
      <name val="Calibri"/>
      <family val="2"/>
      <scheme val="minor"/>
    </font>
    <font>
      <sz val="11"/>
      <color rgb="FF0070C0"/>
      <name val="Calibri"/>
      <family val="2"/>
      <scheme val="minor"/>
    </font>
    <font>
      <sz val="11"/>
      <color rgb="FF00B05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EFFCFF"/>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0F8FF"/>
        <bgColor indexed="64"/>
      </patternFill>
    </fill>
    <fill>
      <patternFill patternType="mediumGray">
        <fgColor rgb="FFC0C0C0"/>
        <bgColor rgb="FFFFFFFF"/>
      </patternFill>
    </fill>
    <fill>
      <patternFill patternType="solid">
        <fgColor rgb="FFC4D8ED"/>
        <bgColor indexed="64"/>
      </patternFill>
    </fill>
    <fill>
      <patternFill patternType="solid">
        <fgColor rgb="FF00A1E3"/>
        <bgColor indexed="64"/>
      </patternFill>
    </fill>
    <fill>
      <patternFill patternType="solid">
        <fgColor rgb="FF2973BD"/>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45" fillId="0" borderId="0"/>
    <xf numFmtId="0" fontId="45" fillId="0" borderId="0">
      <alignment vertical="top"/>
    </xf>
  </cellStyleXfs>
  <cellXfs count="399">
    <xf numFmtId="0" fontId="0" fillId="0" borderId="0" xfId="0"/>
    <xf numFmtId="0" fontId="0" fillId="0" borderId="0" xfId="0" applyAlignment="1">
      <alignment vertical="top" wrapText="1"/>
    </xf>
    <xf numFmtId="0" fontId="4" fillId="0" borderId="0" xfId="0" applyFont="1"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0" fontId="0" fillId="0" borderId="0" xfId="0" applyAlignment="1">
      <alignment wrapText="1"/>
    </xf>
    <xf numFmtId="164" fontId="6" fillId="0" borderId="0" xfId="1" applyNumberFormat="1" applyFont="1" applyFill="1" applyAlignment="1">
      <alignment horizontal="right" vertical="top"/>
    </xf>
    <xf numFmtId="164" fontId="6" fillId="0" borderId="0" xfId="1" applyNumberFormat="1" applyFont="1" applyFill="1" applyAlignment="1">
      <alignment vertical="top"/>
    </xf>
    <xf numFmtId="0" fontId="0" fillId="0" borderId="0" xfId="0" applyAlignment="1">
      <alignment vertical="top"/>
    </xf>
    <xf numFmtId="0" fontId="5" fillId="2" borderId="0" xfId="0" applyFont="1" applyFill="1"/>
    <xf numFmtId="0" fontId="6" fillId="0" borderId="0" xfId="0" applyFont="1"/>
    <xf numFmtId="3" fontId="6" fillId="0" borderId="0" xfId="0" applyNumberFormat="1" applyFont="1"/>
    <xf numFmtId="0" fontId="6" fillId="0" borderId="0" xfId="0" applyFont="1" applyFill="1" applyAlignment="1">
      <alignment vertical="top" wrapText="1"/>
    </xf>
    <xf numFmtId="0" fontId="6" fillId="0" borderId="0" xfId="0" applyFont="1" applyAlignment="1">
      <alignment vertical="top" wrapText="1"/>
    </xf>
    <xf numFmtId="164" fontId="6" fillId="0" borderId="0" xfId="1" applyNumberFormat="1" applyFont="1" applyAlignment="1">
      <alignment vertical="top"/>
    </xf>
    <xf numFmtId="0" fontId="6" fillId="0" borderId="0" xfId="0" applyFont="1" applyAlignment="1">
      <alignment vertical="top"/>
    </xf>
    <xf numFmtId="0" fontId="6" fillId="0" borderId="0" xfId="0" applyFont="1" applyFill="1" applyAlignment="1">
      <alignment wrapText="1"/>
    </xf>
    <xf numFmtId="164" fontId="6" fillId="0" borderId="0" xfId="1" applyNumberFormat="1" applyFont="1"/>
    <xf numFmtId="3" fontId="6" fillId="0" borderId="0" xfId="0" applyNumberFormat="1" applyFont="1" applyAlignment="1">
      <alignment vertical="top"/>
    </xf>
    <xf numFmtId="0" fontId="6" fillId="0" borderId="0" xfId="0" applyFont="1" applyAlignment="1">
      <alignment horizontal="right" vertical="top"/>
    </xf>
    <xf numFmtId="165" fontId="6" fillId="0" borderId="0" xfId="0" applyNumberFormat="1" applyFont="1"/>
    <xf numFmtId="0" fontId="6" fillId="0" borderId="0" xfId="0" applyFont="1" applyFill="1" applyAlignment="1">
      <alignment vertical="top"/>
    </xf>
    <xf numFmtId="165" fontId="6" fillId="0" borderId="0" xfId="0" applyNumberFormat="1" applyFont="1" applyAlignment="1">
      <alignment vertical="top"/>
    </xf>
    <xf numFmtId="0" fontId="6" fillId="0" borderId="0" xfId="0" applyFont="1" applyFill="1" applyAlignment="1">
      <alignment horizontal="right" vertical="top"/>
    </xf>
    <xf numFmtId="165" fontId="6" fillId="0" borderId="0" xfId="0" applyNumberFormat="1" applyFont="1" applyFill="1" applyAlignment="1">
      <alignment vertical="top"/>
    </xf>
    <xf numFmtId="2" fontId="6" fillId="0" borderId="0" xfId="0" applyNumberFormat="1" applyFont="1" applyAlignment="1">
      <alignment horizontal="right" vertical="top"/>
    </xf>
    <xf numFmtId="0" fontId="0" fillId="0" borderId="0" xfId="0" applyFill="1" applyAlignment="1">
      <alignment vertical="top" wrapText="1"/>
    </xf>
    <xf numFmtId="165" fontId="6" fillId="0" borderId="0" xfId="3" applyNumberFormat="1" applyFont="1" applyFill="1"/>
    <xf numFmtId="165" fontId="6" fillId="0" borderId="0" xfId="0" applyNumberFormat="1" applyFont="1" applyFill="1" applyAlignment="1">
      <alignment horizontal="right" vertical="top"/>
    </xf>
    <xf numFmtId="165" fontId="9" fillId="0" borderId="0" xfId="0" applyNumberFormat="1" applyFont="1" applyFill="1" applyAlignment="1">
      <alignment vertical="top"/>
    </xf>
    <xf numFmtId="0" fontId="6" fillId="0" borderId="0" xfId="0" applyFont="1" applyFill="1" applyAlignment="1">
      <alignment horizontal="left" wrapText="1"/>
    </xf>
    <xf numFmtId="43" fontId="0" fillId="0" borderId="0" xfId="1" applyFont="1"/>
    <xf numFmtId="165" fontId="0" fillId="0" borderId="0" xfId="3" applyNumberFormat="1" applyFont="1"/>
    <xf numFmtId="165" fontId="6" fillId="0" borderId="0" xfId="0" applyNumberFormat="1" applyFont="1" applyFill="1"/>
    <xf numFmtId="43" fontId="6" fillId="0" borderId="0" xfId="1" applyNumberFormat="1" applyFont="1" applyFill="1" applyAlignment="1">
      <alignment vertical="top"/>
    </xf>
    <xf numFmtId="2" fontId="6" fillId="0" borderId="0" xfId="0" applyNumberFormat="1" applyFont="1" applyAlignment="1">
      <alignment vertical="top"/>
    </xf>
    <xf numFmtId="0" fontId="6" fillId="0" borderId="0" xfId="2" applyFont="1" applyAlignment="1">
      <alignment horizontal="right" vertical="top" wrapText="1"/>
    </xf>
    <xf numFmtId="0" fontId="6" fillId="0" borderId="0" xfId="0" applyFont="1" applyAlignment="1">
      <alignment horizontal="right"/>
    </xf>
    <xf numFmtId="4" fontId="6" fillId="0" borderId="0" xfId="0" applyNumberFormat="1" applyFont="1" applyAlignment="1">
      <alignment vertical="top"/>
    </xf>
    <xf numFmtId="0" fontId="0" fillId="0" borderId="0" xfId="0" applyFill="1" applyAlignment="1">
      <alignment vertical="top"/>
    </xf>
    <xf numFmtId="2" fontId="6" fillId="0" borderId="0" xfId="0" applyNumberFormat="1" applyFont="1" applyFill="1" applyAlignment="1">
      <alignment horizontal="right" vertical="top"/>
    </xf>
    <xf numFmtId="4" fontId="6" fillId="0" borderId="0" xfId="0" applyNumberFormat="1" applyFont="1" applyFill="1" applyAlignment="1">
      <alignment vertical="top"/>
    </xf>
    <xf numFmtId="4" fontId="6" fillId="0" borderId="0" xfId="0" applyNumberFormat="1" applyFont="1"/>
    <xf numFmtId="0" fontId="9" fillId="0" borderId="0" xfId="0" applyFont="1" applyFill="1" applyAlignment="1">
      <alignment horizontal="right" vertical="top" wrapText="1"/>
    </xf>
    <xf numFmtId="0" fontId="6" fillId="0" borderId="0" xfId="0" applyFont="1" applyAlignment="1">
      <alignment horizontal="right" vertical="top" wrapText="1"/>
    </xf>
    <xf numFmtId="0" fontId="6" fillId="0" borderId="0" xfId="0" applyFont="1" applyFill="1" applyAlignment="1">
      <alignment horizontal="right" vertical="top" wrapText="1"/>
    </xf>
    <xf numFmtId="2" fontId="6" fillId="0" borderId="0" xfId="0" applyNumberFormat="1" applyFont="1" applyFill="1" applyAlignment="1">
      <alignment vertical="top"/>
    </xf>
    <xf numFmtId="165" fontId="6" fillId="0" borderId="0" xfId="3" applyNumberFormat="1" applyFont="1" applyAlignment="1">
      <alignment horizontal="right" vertical="top"/>
    </xf>
    <xf numFmtId="168" fontId="6" fillId="0" borderId="0" xfId="0" applyNumberFormat="1" applyFont="1" applyAlignment="1">
      <alignment horizontal="right" vertical="top"/>
    </xf>
    <xf numFmtId="1" fontId="6" fillId="0" borderId="0" xfId="0" applyNumberFormat="1" applyFont="1" applyAlignment="1">
      <alignment horizontal="right" vertical="top"/>
    </xf>
    <xf numFmtId="1" fontId="6" fillId="0" borderId="0" xfId="0" applyNumberFormat="1" applyFont="1"/>
    <xf numFmtId="0" fontId="0" fillId="0" borderId="0" xfId="0" applyAlignment="1">
      <alignment horizontal="left" vertical="top" wrapText="1"/>
    </xf>
    <xf numFmtId="0" fontId="0" fillId="0" borderId="0" xfId="0" applyAlignment="1">
      <alignment horizontal="right"/>
    </xf>
    <xf numFmtId="165" fontId="6" fillId="0" borderId="0" xfId="3" applyNumberFormat="1" applyFont="1" applyAlignment="1">
      <alignment horizontal="right" vertical="top" wrapText="1"/>
    </xf>
    <xf numFmtId="165" fontId="6" fillId="0" borderId="0" xfId="0" applyNumberFormat="1" applyFont="1" applyAlignment="1">
      <alignment horizontal="right" vertical="top"/>
    </xf>
    <xf numFmtId="165" fontId="6" fillId="0" borderId="0" xfId="3" applyNumberFormat="1" applyFont="1" applyFill="1" applyAlignment="1">
      <alignment horizontal="right" vertical="top"/>
    </xf>
    <xf numFmtId="0" fontId="2" fillId="0" borderId="0" xfId="2"/>
    <xf numFmtId="2" fontId="9" fillId="0" borderId="0" xfId="3" applyNumberFormat="1" applyFont="1" applyFill="1" applyAlignment="1">
      <alignment horizontal="right" vertical="top"/>
    </xf>
    <xf numFmtId="165" fontId="9" fillId="0" borderId="0" xfId="0" applyNumberFormat="1" applyFont="1" applyFill="1" applyAlignment="1">
      <alignment horizontal="right" vertical="top"/>
    </xf>
    <xf numFmtId="0" fontId="6" fillId="0" borderId="0" xfId="0" applyFont="1" applyFill="1" applyAlignment="1">
      <alignment horizontal="left" vertical="top" wrapText="1"/>
    </xf>
    <xf numFmtId="0" fontId="6" fillId="0" borderId="0" xfId="0" applyFont="1" applyFill="1" applyAlignment="1">
      <alignment horizontal="right"/>
    </xf>
    <xf numFmtId="0" fontId="6" fillId="0" borderId="0" xfId="0" applyFont="1" applyAlignment="1">
      <alignment horizontal="left" vertical="top" wrapText="1"/>
    </xf>
    <xf numFmtId="0" fontId="0" fillId="0" borderId="0" xfId="0" applyFill="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8" fillId="0" borderId="0" xfId="0" applyFont="1" applyAlignment="1">
      <alignment horizontal="left" vertical="top"/>
    </xf>
    <xf numFmtId="0" fontId="15" fillId="0" borderId="0" xfId="2" applyFont="1" applyAlignment="1">
      <alignment vertical="top" wrapText="1"/>
    </xf>
    <xf numFmtId="0" fontId="9" fillId="0" borderId="0" xfId="2" applyFont="1" applyFill="1" applyAlignment="1">
      <alignment wrapText="1"/>
    </xf>
    <xf numFmtId="10" fontId="6" fillId="0" borderId="0" xfId="0" applyNumberFormat="1" applyFont="1" applyFill="1" applyAlignment="1">
      <alignment wrapText="1"/>
    </xf>
    <xf numFmtId="165" fontId="6" fillId="0" borderId="0" xfId="3" applyNumberFormat="1" applyFont="1" applyAlignment="1">
      <alignment horizontal="right"/>
    </xf>
    <xf numFmtId="165" fontId="6" fillId="0" borderId="0" xfId="0" applyNumberFormat="1" applyFont="1" applyFill="1" applyAlignment="1">
      <alignment horizontal="right"/>
    </xf>
    <xf numFmtId="1" fontId="6" fillId="0" borderId="0" xfId="0" applyNumberFormat="1" applyFont="1" applyFill="1" applyAlignment="1">
      <alignment horizontal="right" vertical="top"/>
    </xf>
    <xf numFmtId="0" fontId="7" fillId="0" borderId="0" xfId="0" applyFont="1" applyFill="1" applyAlignment="1">
      <alignment vertical="top" wrapText="1"/>
    </xf>
    <xf numFmtId="0" fontId="6" fillId="0" borderId="0" xfId="2" applyFont="1" applyFill="1" applyAlignment="1">
      <alignment horizontal="left" vertical="top" wrapText="1"/>
    </xf>
    <xf numFmtId="0" fontId="6" fillId="0" borderId="0" xfId="2" applyFont="1" applyFill="1" applyAlignment="1">
      <alignment horizontal="right" vertical="top" wrapText="1"/>
    </xf>
    <xf numFmtId="2" fontId="6" fillId="0" borderId="0" xfId="2" applyNumberFormat="1" applyFont="1" applyFill="1" applyAlignment="1">
      <alignment horizontal="right" vertical="top" wrapText="1"/>
    </xf>
    <xf numFmtId="165" fontId="6" fillId="0" borderId="0" xfId="3" applyNumberFormat="1" applyFont="1" applyFill="1" applyAlignment="1">
      <alignment horizontal="right" vertical="top" wrapText="1"/>
    </xf>
    <xf numFmtId="0" fontId="6" fillId="0" borderId="0" xfId="2" applyFont="1" applyFill="1" applyAlignment="1">
      <alignment horizontal="right" vertical="top"/>
    </xf>
    <xf numFmtId="0" fontId="5" fillId="0" borderId="0" xfId="0" applyFont="1" applyFill="1" applyAlignment="1">
      <alignment horizontal="right" vertical="top" wrapText="1"/>
    </xf>
    <xf numFmtId="0" fontId="16" fillId="0" borderId="0" xfId="0" applyFont="1"/>
    <xf numFmtId="0" fontId="17" fillId="0" borderId="0" xfId="0" applyFont="1" applyAlignment="1">
      <alignment horizontal="left" vertical="top"/>
    </xf>
    <xf numFmtId="2" fontId="6" fillId="0" borderId="0" xfId="3" applyNumberFormat="1" applyFont="1" applyFill="1" applyAlignment="1">
      <alignment horizontal="right" vertical="top"/>
    </xf>
    <xf numFmtId="168" fontId="6" fillId="0" borderId="0" xfId="0" applyNumberFormat="1" applyFont="1" applyAlignment="1">
      <alignment horizontal="right"/>
    </xf>
    <xf numFmtId="0" fontId="2" fillId="0" borderId="0" xfId="2" applyFill="1" applyAlignment="1">
      <alignment vertical="top"/>
    </xf>
    <xf numFmtId="43" fontId="6" fillId="0" borderId="0" xfId="1" applyNumberFormat="1" applyFont="1" applyFill="1" applyAlignment="1">
      <alignment horizontal="left" vertical="top" indent="1"/>
    </xf>
    <xf numFmtId="0" fontId="18" fillId="0" borderId="0" xfId="0" applyFont="1" applyAlignment="1">
      <alignment vertical="top" wrapText="1"/>
    </xf>
    <xf numFmtId="15" fontId="17" fillId="0" borderId="0" xfId="0" applyNumberFormat="1" applyFont="1" applyAlignment="1">
      <alignment horizontal="left" vertical="top"/>
    </xf>
    <xf numFmtId="0" fontId="9" fillId="0" borderId="0" xfId="2" applyFont="1" applyFill="1" applyAlignment="1">
      <alignment vertical="top" wrapText="1"/>
    </xf>
    <xf numFmtId="165" fontId="6" fillId="0" borderId="0" xfId="3" applyNumberFormat="1" applyFont="1" applyFill="1" applyAlignment="1">
      <alignment vertical="top"/>
    </xf>
    <xf numFmtId="0" fontId="0" fillId="0" borderId="0" xfId="0" applyFill="1" applyAlignment="1">
      <alignment wrapText="1"/>
    </xf>
    <xf numFmtId="9" fontId="6" fillId="0" borderId="0" xfId="3" applyFont="1" applyFill="1" applyAlignment="1">
      <alignment horizontal="right" vertical="top"/>
    </xf>
    <xf numFmtId="166" fontId="6" fillId="0" borderId="0" xfId="1" applyNumberFormat="1" applyFont="1" applyFill="1" applyAlignment="1">
      <alignment horizontal="right" vertical="top"/>
    </xf>
    <xf numFmtId="0" fontId="0" fillId="0" borderId="0" xfId="0" applyFont="1" applyAlignment="1">
      <alignment vertical="top" wrapText="1"/>
    </xf>
    <xf numFmtId="166" fontId="6" fillId="0" borderId="0" xfId="1" applyNumberFormat="1" applyFont="1" applyFill="1" applyAlignment="1">
      <alignment vertical="top"/>
    </xf>
    <xf numFmtId="2" fontId="6" fillId="0" borderId="0" xfId="0" applyNumberFormat="1" applyFont="1" applyAlignment="1">
      <alignment horizontal="center" vertical="top"/>
    </xf>
    <xf numFmtId="165" fontId="6" fillId="0" borderId="0" xfId="3" applyNumberFormat="1" applyFont="1" applyAlignment="1">
      <alignment horizontal="center" vertical="top"/>
    </xf>
    <xf numFmtId="2" fontId="6" fillId="0" borderId="0" xfId="0" applyNumberFormat="1" applyFont="1" applyFill="1" applyAlignment="1">
      <alignment horizontal="center" vertical="top"/>
    </xf>
    <xf numFmtId="0" fontId="5" fillId="3" borderId="0" xfId="0" applyFont="1" applyFill="1" applyAlignment="1">
      <alignment vertical="top" wrapText="1"/>
    </xf>
    <xf numFmtId="0" fontId="7" fillId="3" borderId="0" xfId="0" applyFont="1" applyFill="1" applyAlignment="1">
      <alignment vertical="top" wrapText="1"/>
    </xf>
    <xf numFmtId="0" fontId="19" fillId="4" borderId="0" xfId="0" applyFont="1" applyFill="1" applyAlignment="1">
      <alignment vertical="top" wrapText="1"/>
    </xf>
    <xf numFmtId="0" fontId="19" fillId="4" borderId="0" xfId="0" applyFont="1" applyFill="1" applyAlignment="1">
      <alignment horizontal="center" vertical="top"/>
    </xf>
    <xf numFmtId="0" fontId="5" fillId="5" borderId="0" xfId="0" applyFont="1" applyFill="1" applyAlignment="1">
      <alignment vertical="top" wrapText="1"/>
    </xf>
    <xf numFmtId="0" fontId="20" fillId="4" borderId="0" xfId="0" applyFont="1" applyFill="1" applyAlignment="1">
      <alignment horizontal="center" vertical="top"/>
    </xf>
    <xf numFmtId="0" fontId="21" fillId="0" borderId="0" xfId="0" applyFont="1"/>
    <xf numFmtId="0" fontId="10" fillId="0" borderId="0" xfId="0" applyFont="1" applyFill="1" applyAlignment="1">
      <alignment vertical="top" wrapText="1"/>
    </xf>
    <xf numFmtId="0" fontId="10" fillId="0" borderId="0" xfId="0" applyFont="1" applyAlignment="1">
      <alignment vertical="top" wrapText="1"/>
    </xf>
    <xf numFmtId="0" fontId="0" fillId="0" borderId="0" xfId="0" applyFont="1"/>
    <xf numFmtId="0" fontId="23" fillId="0" borderId="0" xfId="0" applyFont="1"/>
    <xf numFmtId="0" fontId="24" fillId="6" borderId="0" xfId="0" applyFont="1" applyFill="1" applyAlignment="1">
      <alignment vertical="top" wrapText="1"/>
    </xf>
    <xf numFmtId="0" fontId="10" fillId="7" borderId="0" xfId="0" applyFont="1" applyFill="1" applyAlignment="1">
      <alignment vertical="top" wrapText="1"/>
    </xf>
    <xf numFmtId="165" fontId="6" fillId="7" borderId="0" xfId="0" applyNumberFormat="1" applyFont="1" applyFill="1" applyAlignment="1">
      <alignment vertical="top"/>
    </xf>
    <xf numFmtId="0" fontId="5" fillId="7" borderId="0" xfId="0" applyFont="1" applyFill="1" applyAlignment="1">
      <alignment vertical="top" wrapText="1"/>
    </xf>
    <xf numFmtId="0" fontId="6" fillId="7" borderId="0" xfId="0" applyFont="1" applyFill="1" applyAlignment="1">
      <alignment vertical="top"/>
    </xf>
    <xf numFmtId="0" fontId="6" fillId="7" borderId="0" xfId="0" applyFont="1" applyFill="1"/>
    <xf numFmtId="0" fontId="6" fillId="7" borderId="0" xfId="0" applyFont="1" applyFill="1" applyAlignment="1">
      <alignment horizontal="right" vertical="top"/>
    </xf>
    <xf numFmtId="167" fontId="6" fillId="0" borderId="0" xfId="0" applyNumberFormat="1" applyFont="1" applyFill="1" applyAlignment="1">
      <alignment horizontal="right"/>
    </xf>
    <xf numFmtId="0" fontId="0" fillId="0" borderId="0" xfId="0" applyFill="1"/>
    <xf numFmtId="0" fontId="22" fillId="7" borderId="0" xfId="0" applyFont="1" applyFill="1" applyAlignment="1">
      <alignment vertical="top" wrapText="1"/>
    </xf>
    <xf numFmtId="0" fontId="7" fillId="7" borderId="0" xfId="0" applyFont="1" applyFill="1" applyAlignment="1">
      <alignment vertical="top" wrapText="1"/>
    </xf>
    <xf numFmtId="0" fontId="5" fillId="7" borderId="0" xfId="0" applyFont="1" applyFill="1" applyAlignment="1">
      <alignment horizontal="right" vertical="top" wrapText="1"/>
    </xf>
    <xf numFmtId="0" fontId="7" fillId="7" borderId="0" xfId="0" applyFont="1" applyFill="1" applyAlignment="1">
      <alignment horizontal="right" vertical="top" wrapText="1"/>
    </xf>
    <xf numFmtId="0" fontId="6" fillId="7" borderId="0" xfId="0" applyFont="1" applyFill="1" applyAlignment="1">
      <alignment horizontal="right"/>
    </xf>
    <xf numFmtId="0" fontId="6" fillId="7" borderId="0" xfId="2" applyFont="1" applyFill="1" applyAlignment="1">
      <alignment horizontal="right" vertical="top" wrapText="1"/>
    </xf>
    <xf numFmtId="9" fontId="6" fillId="0" borderId="0" xfId="3" applyFont="1" applyAlignment="1">
      <alignment vertical="top"/>
    </xf>
    <xf numFmtId="0" fontId="6" fillId="6" borderId="0" xfId="2" applyFont="1" applyFill="1" applyAlignment="1">
      <alignment horizontal="left" vertical="top" wrapText="1"/>
    </xf>
    <xf numFmtId="0" fontId="6" fillId="6" borderId="0" xfId="0" applyFont="1" applyFill="1" applyAlignment="1">
      <alignment vertical="top"/>
    </xf>
    <xf numFmtId="0" fontId="6" fillId="6" borderId="0" xfId="0" applyFont="1" applyFill="1"/>
    <xf numFmtId="43" fontId="6" fillId="8" borderId="0" xfId="1" applyNumberFormat="1" applyFont="1" applyFill="1" applyAlignment="1">
      <alignment vertical="top"/>
    </xf>
    <xf numFmtId="10" fontId="6" fillId="0" borderId="0" xfId="0" applyNumberFormat="1" applyFont="1" applyFill="1" applyAlignment="1">
      <alignment vertical="top"/>
    </xf>
    <xf numFmtId="9" fontId="6" fillId="0" borderId="0" xfId="3" applyFont="1" applyFill="1" applyAlignment="1">
      <alignment vertical="top"/>
    </xf>
    <xf numFmtId="0" fontId="15" fillId="0" borderId="0" xfId="2" applyFont="1" applyFill="1" applyAlignment="1">
      <alignment vertical="top" wrapText="1"/>
    </xf>
    <xf numFmtId="0" fontId="0" fillId="0" borderId="0" xfId="0" applyFont="1" applyFill="1"/>
    <xf numFmtId="0" fontId="2" fillId="0" borderId="0" xfId="2" applyFill="1" applyAlignment="1">
      <alignment vertical="top" wrapText="1"/>
    </xf>
    <xf numFmtId="0" fontId="17" fillId="0" borderId="0" xfId="0" applyFont="1" applyAlignment="1">
      <alignment horizontal="left" vertical="top" wrapText="1"/>
    </xf>
    <xf numFmtId="0" fontId="16" fillId="0" borderId="0" xfId="0" applyFont="1" applyAlignment="1">
      <alignment vertical="top" wrapText="1"/>
    </xf>
    <xf numFmtId="0" fontId="25" fillId="0" borderId="0" xfId="0" applyFont="1" applyFill="1" applyAlignment="1">
      <alignment vertical="top" wrapText="1"/>
    </xf>
    <xf numFmtId="164" fontId="6" fillId="0" borderId="0" xfId="1" applyNumberFormat="1" applyFont="1" applyFill="1" applyAlignment="1">
      <alignment vertical="top" wrapText="1"/>
    </xf>
    <xf numFmtId="0" fontId="3" fillId="0" borderId="0" xfId="0" applyFont="1"/>
    <xf numFmtId="0" fontId="3" fillId="0" borderId="0" xfId="0" applyFont="1" applyAlignment="1">
      <alignment horizontal="right" vertical="top"/>
    </xf>
    <xf numFmtId="0" fontId="3" fillId="0" borderId="0" xfId="0" applyFont="1" applyAlignment="1">
      <alignment vertical="top"/>
    </xf>
    <xf numFmtId="0" fontId="29" fillId="9" borderId="0" xfId="0" applyFont="1" applyFill="1"/>
    <xf numFmtId="0" fontId="10" fillId="0" borderId="0" xfId="0" applyFont="1"/>
    <xf numFmtId="0" fontId="18" fillId="0" borderId="0" xfId="0" applyFont="1" applyAlignment="1">
      <alignment horizontal="right" vertical="top"/>
    </xf>
    <xf numFmtId="0" fontId="18" fillId="0" borderId="0" xfId="0" applyFont="1" applyAlignment="1">
      <alignment vertical="top"/>
    </xf>
    <xf numFmtId="10" fontId="6" fillId="0" borderId="0" xfId="0" applyNumberFormat="1" applyFont="1" applyAlignment="1">
      <alignment horizontal="right" vertical="top"/>
    </xf>
    <xf numFmtId="10" fontId="6" fillId="0" borderId="0" xfId="0" applyNumberFormat="1" applyFont="1" applyAlignment="1">
      <alignment vertical="top"/>
    </xf>
    <xf numFmtId="0" fontId="3" fillId="9" borderId="0" xfId="0" applyFont="1" applyFill="1"/>
    <xf numFmtId="0" fontId="30" fillId="9" borderId="0" xfId="0" applyFont="1" applyFill="1"/>
    <xf numFmtId="0" fontId="31" fillId="9" borderId="0" xfId="0" applyFont="1" applyFill="1"/>
    <xf numFmtId="2" fontId="6" fillId="0" borderId="0" xfId="0" applyNumberFormat="1" applyFont="1"/>
    <xf numFmtId="2" fontId="0" fillId="0" borderId="0" xfId="0" applyNumberFormat="1"/>
    <xf numFmtId="49" fontId="6" fillId="0" borderId="0" xfId="0" applyNumberFormat="1" applyFont="1" applyFill="1" applyAlignment="1">
      <alignment horizontal="right" vertical="top"/>
    </xf>
    <xf numFmtId="2" fontId="6" fillId="0" borderId="0" xfId="1" applyNumberFormat="1" applyFont="1" applyFill="1" applyAlignment="1">
      <alignment vertical="top"/>
    </xf>
    <xf numFmtId="168" fontId="6" fillId="0" borderId="0" xfId="0" applyNumberFormat="1" applyFont="1" applyFill="1" applyAlignment="1">
      <alignment horizontal="right" vertical="top"/>
    </xf>
    <xf numFmtId="0" fontId="32" fillId="9" borderId="0" xfId="0" applyFont="1" applyFill="1"/>
    <xf numFmtId="165" fontId="6" fillId="0" borderId="0" xfId="3" applyNumberFormat="1" applyFont="1"/>
    <xf numFmtId="0" fontId="22" fillId="0" borderId="0" xfId="0" applyFont="1" applyFill="1" applyAlignment="1">
      <alignment vertical="top" wrapText="1"/>
    </xf>
    <xf numFmtId="165" fontId="9" fillId="0" borderId="0" xfId="3" applyNumberFormat="1" applyFont="1" applyFill="1" applyAlignment="1">
      <alignment horizontal="right" vertical="top"/>
    </xf>
    <xf numFmtId="10" fontId="6" fillId="0" borderId="0" xfId="0" applyNumberFormat="1" applyFont="1" applyFill="1" applyAlignment="1">
      <alignment vertical="top" wrapText="1"/>
    </xf>
    <xf numFmtId="0" fontId="33" fillId="4" borderId="0" xfId="0" applyFont="1" applyFill="1" applyAlignment="1">
      <alignment vertical="top" wrapText="1"/>
    </xf>
    <xf numFmtId="0" fontId="33" fillId="4" borderId="0" xfId="0" applyFont="1" applyFill="1" applyAlignment="1">
      <alignment horizontal="center" vertical="top"/>
    </xf>
    <xf numFmtId="0" fontId="4" fillId="0" borderId="0" xfId="0" applyFont="1"/>
    <xf numFmtId="2" fontId="6" fillId="0" borderId="0" xfId="3" applyNumberFormat="1" applyFont="1" applyFill="1" applyAlignment="1">
      <alignment vertical="top"/>
    </xf>
    <xf numFmtId="0" fontId="15" fillId="0" borderId="0" xfId="2" applyFont="1" applyFill="1" applyAlignment="1">
      <alignment horizontal="left" vertical="top" wrapText="1"/>
    </xf>
    <xf numFmtId="0" fontId="34" fillId="9" borderId="0" xfId="0" applyFont="1" applyFill="1"/>
    <xf numFmtId="0" fontId="4" fillId="0" borderId="0" xfId="0" applyFont="1" applyAlignment="1">
      <alignment vertical="top"/>
    </xf>
    <xf numFmtId="0" fontId="4" fillId="0" borderId="0" xfId="0" applyFont="1" applyAlignment="1">
      <alignment horizontal="right" vertical="top" wrapText="1"/>
    </xf>
    <xf numFmtId="0" fontId="22" fillId="0" borderId="0" xfId="0" applyFont="1"/>
    <xf numFmtId="0" fontId="5" fillId="9" borderId="0" xfId="0" applyFont="1" applyFill="1" applyAlignment="1">
      <alignment horizontal="right" vertical="top"/>
    </xf>
    <xf numFmtId="0" fontId="5" fillId="9" borderId="0" xfId="0" applyFont="1" applyFill="1" applyAlignment="1">
      <alignment vertical="top"/>
    </xf>
    <xf numFmtId="0" fontId="36" fillId="9" borderId="0" xfId="0" applyFont="1" applyFill="1"/>
    <xf numFmtId="165" fontId="6" fillId="0" borderId="0" xfId="3" applyNumberFormat="1" applyFont="1" applyAlignment="1">
      <alignment vertical="top"/>
    </xf>
    <xf numFmtId="168" fontId="6" fillId="0" borderId="0" xfId="0" applyNumberFormat="1" applyFont="1" applyAlignment="1">
      <alignment vertical="top"/>
    </xf>
    <xf numFmtId="0" fontId="38" fillId="9" borderId="0" xfId="0" applyFont="1" applyFill="1" applyAlignment="1">
      <alignment wrapText="1"/>
    </xf>
    <xf numFmtId="9" fontId="6" fillId="0" borderId="0" xfId="0" applyNumberFormat="1" applyFont="1" applyAlignment="1">
      <alignment horizontal="right" vertical="top"/>
    </xf>
    <xf numFmtId="9" fontId="6" fillId="0" borderId="0" xfId="3" applyFont="1" applyAlignment="1">
      <alignment horizontal="right" vertical="top"/>
    </xf>
    <xf numFmtId="10" fontId="0" fillId="0" borderId="0" xfId="0" applyNumberFormat="1"/>
    <xf numFmtId="9" fontId="0" fillId="0" borderId="0" xfId="0" applyNumberFormat="1"/>
    <xf numFmtId="0" fontId="0" fillId="0" borderId="0" xfId="0" applyFont="1" applyFill="1" applyAlignment="1">
      <alignment vertical="top" wrapText="1"/>
    </xf>
    <xf numFmtId="0" fontId="35" fillId="0" borderId="0" xfId="0" applyFont="1" applyAlignment="1">
      <alignment vertical="top"/>
    </xf>
    <xf numFmtId="0" fontId="0" fillId="9" borderId="0" xfId="0" applyFont="1" applyFill="1"/>
    <xf numFmtId="0" fontId="38" fillId="0" borderId="0" xfId="0" applyFont="1"/>
    <xf numFmtId="0" fontId="38" fillId="9" borderId="0" xfId="0" applyFont="1" applyFill="1"/>
    <xf numFmtId="0" fontId="38" fillId="0" borderId="0" xfId="0" applyFont="1" applyFill="1" applyAlignment="1">
      <alignment wrapText="1"/>
    </xf>
    <xf numFmtId="0" fontId="5" fillId="0" borderId="0" xfId="0" applyFont="1" applyAlignment="1">
      <alignment horizontal="right" vertical="top"/>
    </xf>
    <xf numFmtId="0" fontId="39" fillId="9" borderId="0" xfId="0" applyFont="1" applyFill="1"/>
    <xf numFmtId="0" fontId="3" fillId="12" borderId="0" xfId="0" applyFont="1" applyFill="1" applyAlignment="1">
      <alignment horizontal="right" vertical="top"/>
    </xf>
    <xf numFmtId="0" fontId="3" fillId="12" borderId="0" xfId="0" applyFont="1" applyFill="1" applyAlignment="1">
      <alignment vertical="top"/>
    </xf>
    <xf numFmtId="17" fontId="4" fillId="12" borderId="0" xfId="0" applyNumberFormat="1" applyFont="1" applyFill="1" applyAlignment="1">
      <alignment horizontal="right" vertical="top"/>
    </xf>
    <xf numFmtId="0" fontId="4" fillId="12" borderId="0" xfId="0" applyFont="1" applyFill="1" applyAlignment="1">
      <alignment vertical="top"/>
    </xf>
    <xf numFmtId="0" fontId="3" fillId="2" borderId="0" xfId="0" applyFont="1" applyFill="1" applyAlignment="1">
      <alignment horizontal="right" vertical="top"/>
    </xf>
    <xf numFmtId="0" fontId="3" fillId="2" borderId="0" xfId="0" applyFont="1" applyFill="1" applyAlignment="1">
      <alignment vertical="top"/>
    </xf>
    <xf numFmtId="17" fontId="4" fillId="2" borderId="0" xfId="0" applyNumberFormat="1" applyFont="1" applyFill="1" applyAlignment="1">
      <alignment vertical="top"/>
    </xf>
    <xf numFmtId="0" fontId="4" fillId="2" borderId="0" xfId="0" applyFont="1" applyFill="1" applyAlignment="1">
      <alignment vertical="top"/>
    </xf>
    <xf numFmtId="0" fontId="10" fillId="0" borderId="0" xfId="0" applyFont="1" applyAlignment="1">
      <alignment horizontal="right" vertical="top"/>
    </xf>
    <xf numFmtId="0" fontId="5" fillId="0" borderId="0" xfId="0" applyFont="1" applyAlignment="1">
      <alignment horizontal="right"/>
    </xf>
    <xf numFmtId="0" fontId="10" fillId="0" borderId="0" xfId="0" applyFont="1" applyAlignment="1">
      <alignment horizontal="right"/>
    </xf>
    <xf numFmtId="0" fontId="38" fillId="9" borderId="0" xfId="0" applyFont="1" applyFill="1" applyAlignment="1">
      <alignment vertical="top" wrapText="1"/>
    </xf>
    <xf numFmtId="0" fontId="34" fillId="9" borderId="0" xfId="0" applyFont="1" applyFill="1" applyAlignment="1">
      <alignment vertical="top" wrapText="1"/>
    </xf>
    <xf numFmtId="0" fontId="31" fillId="9" borderId="0" xfId="0" applyFont="1" applyFill="1" applyAlignment="1">
      <alignment vertical="top" wrapText="1"/>
    </xf>
    <xf numFmtId="0" fontId="31" fillId="9" borderId="0" xfId="0" applyFont="1" applyFill="1" applyAlignment="1">
      <alignment horizontal="center" vertical="top" wrapText="1"/>
    </xf>
    <xf numFmtId="0" fontId="32" fillId="9" borderId="0" xfId="0" applyFont="1" applyFill="1" applyAlignment="1">
      <alignment vertical="top" wrapText="1"/>
    </xf>
    <xf numFmtId="0" fontId="0" fillId="0" borderId="0" xfId="0" applyFont="1" applyAlignment="1">
      <alignment vertical="top"/>
    </xf>
    <xf numFmtId="0" fontId="40" fillId="10" borderId="0" xfId="0" applyFont="1" applyFill="1" applyAlignment="1">
      <alignment horizontal="left" vertical="top"/>
    </xf>
    <xf numFmtId="168" fontId="37" fillId="10" borderId="0" xfId="0" applyNumberFormat="1" applyFont="1" applyFill="1" applyAlignment="1">
      <alignment horizontal="right" vertical="top"/>
    </xf>
    <xf numFmtId="10" fontId="4" fillId="0" borderId="0" xfId="0" applyNumberFormat="1" applyFont="1" applyAlignment="1">
      <alignment horizontal="right" vertical="top"/>
    </xf>
    <xf numFmtId="165" fontId="4" fillId="0" borderId="0" xfId="3" applyNumberFormat="1" applyFont="1" applyAlignment="1">
      <alignment vertical="top"/>
    </xf>
    <xf numFmtId="10" fontId="4" fillId="0" borderId="0" xfId="0" applyNumberFormat="1" applyFont="1" applyAlignment="1">
      <alignment vertical="top"/>
    </xf>
    <xf numFmtId="0" fontId="4" fillId="0" borderId="0" xfId="0" applyFont="1" applyAlignment="1">
      <alignment horizontal="right" vertical="top"/>
    </xf>
    <xf numFmtId="165" fontId="6" fillId="9" borderId="0" xfId="3" applyNumberFormat="1" applyFont="1" applyFill="1"/>
    <xf numFmtId="165" fontId="6" fillId="9" borderId="0" xfId="3" applyNumberFormat="1" applyFont="1" applyFill="1" applyAlignment="1">
      <alignment vertical="top"/>
    </xf>
    <xf numFmtId="9" fontId="0" fillId="0" borderId="0" xfId="3" applyFont="1"/>
    <xf numFmtId="10" fontId="0" fillId="0" borderId="0" xfId="3" applyNumberFormat="1" applyFont="1"/>
    <xf numFmtId="0" fontId="35" fillId="9" borderId="0" xfId="0" applyFont="1" applyFill="1"/>
    <xf numFmtId="0" fontId="35" fillId="0" borderId="0" xfId="0" applyFont="1" applyAlignment="1">
      <alignment horizontal="right" vertical="top"/>
    </xf>
    <xf numFmtId="0" fontId="43" fillId="9" borderId="0" xfId="0" applyFont="1" applyFill="1" applyAlignment="1">
      <alignment vertical="top"/>
    </xf>
    <xf numFmtId="0" fontId="43" fillId="9" borderId="0" xfId="0" applyFont="1" applyFill="1"/>
    <xf numFmtId="0" fontId="18" fillId="0" borderId="0" xfId="0" applyFont="1"/>
    <xf numFmtId="0" fontId="23" fillId="9" borderId="0" xfId="0" applyFont="1" applyFill="1"/>
    <xf numFmtId="0" fontId="10" fillId="0" borderId="1" xfId="0" applyFont="1" applyBorder="1" applyAlignment="1">
      <alignment vertical="top"/>
    </xf>
    <xf numFmtId="10" fontId="6" fillId="0" borderId="2" xfId="0" applyNumberFormat="1" applyFont="1" applyBorder="1" applyAlignment="1">
      <alignment horizontal="right" vertical="top"/>
    </xf>
    <xf numFmtId="0" fontId="6" fillId="0" borderId="3" xfId="0" applyFont="1" applyBorder="1" applyAlignment="1">
      <alignment vertical="top"/>
    </xf>
    <xf numFmtId="0" fontId="10" fillId="0" borderId="4" xfId="0" applyFont="1" applyBorder="1" applyAlignment="1">
      <alignment vertical="top"/>
    </xf>
    <xf numFmtId="0" fontId="6" fillId="0" borderId="0" xfId="0" applyFont="1" applyBorder="1" applyAlignment="1">
      <alignment horizontal="right" vertical="top"/>
    </xf>
    <xf numFmtId="0" fontId="6" fillId="0" borderId="5" xfId="0" applyFont="1" applyBorder="1" applyAlignment="1">
      <alignment vertical="top"/>
    </xf>
    <xf numFmtId="10" fontId="6" fillId="0" borderId="0" xfId="0" applyNumberFormat="1" applyFont="1" applyBorder="1" applyAlignment="1">
      <alignment horizontal="right" vertical="top"/>
    </xf>
    <xf numFmtId="0" fontId="6" fillId="0" borderId="5" xfId="0" applyFont="1" applyBorder="1" applyAlignment="1">
      <alignment vertical="top" wrapText="1"/>
    </xf>
    <xf numFmtId="0" fontId="10" fillId="0" borderId="6" xfId="0" applyFont="1" applyBorder="1" applyAlignment="1">
      <alignment vertical="top"/>
    </xf>
    <xf numFmtId="10" fontId="6" fillId="0" borderId="7" xfId="0" applyNumberFormat="1" applyFont="1" applyBorder="1" applyAlignment="1">
      <alignment horizontal="right" vertical="top"/>
    </xf>
    <xf numFmtId="0" fontId="6" fillId="0" borderId="8" xfId="0" applyFont="1" applyBorder="1" applyAlignment="1">
      <alignment vertical="top" wrapText="1"/>
    </xf>
    <xf numFmtId="164" fontId="6" fillId="0" borderId="0" xfId="1" applyNumberFormat="1" applyFont="1" applyFill="1" applyAlignment="1">
      <alignment horizontal="right" vertical="top" wrapText="1"/>
    </xf>
    <xf numFmtId="0" fontId="10" fillId="0" borderId="7" xfId="0" applyFont="1" applyBorder="1"/>
    <xf numFmtId="0" fontId="0" fillId="13" borderId="0" xfId="0" applyFont="1" applyFill="1"/>
    <xf numFmtId="0" fontId="6" fillId="13" borderId="0" xfId="0" applyFont="1" applyFill="1" applyAlignment="1">
      <alignment horizontal="right" vertical="top"/>
    </xf>
    <xf numFmtId="0" fontId="6" fillId="13" borderId="0" xfId="0" applyFont="1" applyFill="1" applyAlignment="1">
      <alignment vertical="top"/>
    </xf>
    <xf numFmtId="0" fontId="6" fillId="13" borderId="0" xfId="0" applyFont="1" applyFill="1"/>
    <xf numFmtId="0" fontId="0" fillId="13" borderId="0" xfId="0" applyFill="1"/>
    <xf numFmtId="0" fontId="10" fillId="13" borderId="0" xfId="0" applyFont="1" applyFill="1"/>
    <xf numFmtId="0" fontId="0" fillId="9" borderId="0" xfId="0" applyFill="1"/>
    <xf numFmtId="0" fontId="0" fillId="9" borderId="0" xfId="0" applyFill="1" applyAlignment="1">
      <alignment horizontal="center"/>
    </xf>
    <xf numFmtId="0" fontId="0" fillId="9" borderId="0" xfId="0" applyFill="1" applyAlignment="1">
      <alignment wrapText="1"/>
    </xf>
    <xf numFmtId="0" fontId="0" fillId="0" borderId="7" xfId="0" applyBorder="1"/>
    <xf numFmtId="0" fontId="0" fillId="0" borderId="4" xfId="0" applyBorder="1"/>
    <xf numFmtId="0" fontId="0" fillId="0" borderId="0" xfId="0" applyBorder="1"/>
    <xf numFmtId="0" fontId="0" fillId="0" borderId="5" xfId="0" applyBorder="1"/>
    <xf numFmtId="9" fontId="0" fillId="0" borderId="5" xfId="3" applyFont="1" applyBorder="1"/>
    <xf numFmtId="0" fontId="0" fillId="0" borderId="6" xfId="0" applyBorder="1"/>
    <xf numFmtId="9" fontId="0" fillId="0" borderId="8" xfId="3" applyFont="1" applyBorder="1"/>
    <xf numFmtId="0" fontId="0" fillId="0" borderId="10" xfId="0" applyBorder="1"/>
    <xf numFmtId="0" fontId="0" fillId="0" borderId="10" xfId="0" applyBorder="1" applyAlignment="1">
      <alignment horizontal="right"/>
    </xf>
    <xf numFmtId="0" fontId="0" fillId="0" borderId="11" xfId="0" applyBorder="1"/>
    <xf numFmtId="0" fontId="0" fillId="0" borderId="12" xfId="0" applyBorder="1"/>
    <xf numFmtId="0" fontId="0" fillId="0" borderId="0" xfId="0" applyBorder="1" applyAlignment="1">
      <alignment horizontal="right"/>
    </xf>
    <xf numFmtId="0" fontId="0" fillId="0" borderId="13" xfId="0" applyBorder="1"/>
    <xf numFmtId="1" fontId="0" fillId="0" borderId="13" xfId="0" applyNumberFormat="1" applyBorder="1"/>
    <xf numFmtId="0" fontId="0" fillId="0" borderId="14" xfId="0" applyBorder="1"/>
    <xf numFmtId="0" fontId="0" fillId="0" borderId="15" xfId="0" applyBorder="1"/>
    <xf numFmtId="0" fontId="10" fillId="0" borderId="12" xfId="0" applyFont="1" applyBorder="1" applyAlignment="1">
      <alignment vertical="top"/>
    </xf>
    <xf numFmtId="0" fontId="10" fillId="0" borderId="0" xfId="0" applyFont="1" applyBorder="1" applyAlignment="1">
      <alignment vertical="top"/>
    </xf>
    <xf numFmtId="0" fontId="10" fillId="0" borderId="0" xfId="0" applyFont="1" applyBorder="1" applyAlignment="1">
      <alignment vertical="top" wrapText="1"/>
    </xf>
    <xf numFmtId="0" fontId="10" fillId="0" borderId="13" xfId="0" applyFont="1" applyBorder="1" applyAlignment="1">
      <alignment horizontal="left" vertical="top" wrapText="1"/>
    </xf>
    <xf numFmtId="0" fontId="45" fillId="0" borderId="0" xfId="0" applyFont="1"/>
    <xf numFmtId="0" fontId="46" fillId="9" borderId="0" xfId="0" applyFont="1" applyFill="1"/>
    <xf numFmtId="0" fontId="46" fillId="0" borderId="0" xfId="0" applyFont="1"/>
    <xf numFmtId="0" fontId="45" fillId="0" borderId="0" xfId="4"/>
    <xf numFmtId="1" fontId="45" fillId="0" borderId="0" xfId="4" applyNumberFormat="1"/>
    <xf numFmtId="0" fontId="47" fillId="0" borderId="0" xfId="4" applyFont="1" applyAlignment="1">
      <alignment horizontal="left"/>
    </xf>
    <xf numFmtId="1" fontId="48" fillId="16" borderId="17" xfId="4" applyNumberFormat="1" applyFont="1" applyFill="1" applyBorder="1" applyAlignment="1">
      <alignment horizontal="right"/>
    </xf>
    <xf numFmtId="0" fontId="48" fillId="16" borderId="17" xfId="4" applyFont="1" applyFill="1" applyBorder="1" applyAlignment="1">
      <alignment horizontal="right"/>
    </xf>
    <xf numFmtId="0" fontId="49" fillId="17" borderId="17" xfId="4" applyFont="1" applyFill="1" applyBorder="1" applyAlignment="1">
      <alignment horizontal="center"/>
    </xf>
    <xf numFmtId="0" fontId="50" fillId="18" borderId="17" xfId="4" applyFont="1" applyFill="1" applyBorder="1" applyAlignment="1">
      <alignment vertical="top" wrapText="1"/>
    </xf>
    <xf numFmtId="1" fontId="48" fillId="0" borderId="17" xfId="4" applyNumberFormat="1" applyFont="1" applyBorder="1" applyAlignment="1">
      <alignment horizontal="right"/>
    </xf>
    <xf numFmtId="0" fontId="48" fillId="0" borderId="17" xfId="4" applyFont="1" applyBorder="1" applyAlignment="1">
      <alignment horizontal="right"/>
    </xf>
    <xf numFmtId="0" fontId="51" fillId="18" borderId="17" xfId="4" applyFont="1" applyFill="1" applyBorder="1" applyAlignment="1">
      <alignment wrapText="1"/>
    </xf>
    <xf numFmtId="0" fontId="52" fillId="19" borderId="17" xfId="4" applyFont="1" applyFill="1" applyBorder="1" applyAlignment="1">
      <alignment horizontal="center" vertical="top" wrapText="1"/>
    </xf>
    <xf numFmtId="0" fontId="54" fillId="0" borderId="17" xfId="4" applyFont="1" applyBorder="1" applyAlignment="1">
      <alignment horizontal="left" wrapText="1"/>
    </xf>
    <xf numFmtId="0" fontId="48" fillId="0" borderId="17" xfId="4" applyFont="1" applyBorder="1"/>
    <xf numFmtId="0" fontId="0" fillId="0" borderId="0" xfId="0" applyFont="1" applyFill="1" applyAlignment="1">
      <alignment horizontal="left" vertical="top" wrapText="1"/>
    </xf>
    <xf numFmtId="0" fontId="0" fillId="0" borderId="0" xfId="0" applyFont="1" applyFill="1" applyAlignment="1">
      <alignment wrapText="1"/>
    </xf>
    <xf numFmtId="0" fontId="45" fillId="13" borderId="0" xfId="4" applyFill="1"/>
    <xf numFmtId="0" fontId="45" fillId="0" borderId="0" xfId="4" applyAlignment="1">
      <alignment vertical="top"/>
    </xf>
    <xf numFmtId="0" fontId="45" fillId="0" borderId="0" xfId="4" applyAlignment="1">
      <alignment vertical="top" wrapText="1"/>
    </xf>
    <xf numFmtId="0" fontId="0" fillId="0" borderId="16" xfId="0" applyBorder="1"/>
    <xf numFmtId="0" fontId="0" fillId="13" borderId="0" xfId="0" applyFill="1" applyAlignment="1">
      <alignment vertical="top"/>
    </xf>
    <xf numFmtId="0" fontId="39" fillId="0" borderId="0" xfId="0" applyFont="1" applyAlignment="1">
      <alignment vertical="top" wrapText="1"/>
    </xf>
    <xf numFmtId="0" fontId="9" fillId="0" borderId="0" xfId="5" applyFont="1" applyAlignment="1"/>
    <xf numFmtId="0" fontId="55" fillId="9" borderId="0" xfId="5" applyFont="1" applyFill="1" applyAlignment="1">
      <alignment horizontal="center" vertical="center"/>
    </xf>
    <xf numFmtId="0" fontId="56" fillId="0" borderId="0" xfId="5" applyFont="1" applyAlignment="1"/>
    <xf numFmtId="0" fontId="38" fillId="0" borderId="0" xfId="0" applyFont="1" applyFill="1" applyAlignment="1">
      <alignment vertical="top" wrapText="1"/>
    </xf>
    <xf numFmtId="165" fontId="0" fillId="0" borderId="0" xfId="3" applyNumberFormat="1" applyFont="1" applyAlignment="1">
      <alignment vertical="top"/>
    </xf>
    <xf numFmtId="169" fontId="0" fillId="0" borderId="0" xfId="3" applyNumberFormat="1" applyFont="1"/>
    <xf numFmtId="0" fontId="39" fillId="0" borderId="0" xfId="0" applyFont="1"/>
    <xf numFmtId="0" fontId="23" fillId="0" borderId="0" xfId="0" applyFont="1" applyAlignment="1">
      <alignment vertical="top"/>
    </xf>
    <xf numFmtId="0" fontId="23" fillId="0" borderId="0" xfId="0" applyFont="1" applyAlignment="1">
      <alignment vertical="top" wrapText="1"/>
    </xf>
    <xf numFmtId="165" fontId="23" fillId="0" borderId="0" xfId="3" applyNumberFormat="1" applyFont="1" applyAlignment="1">
      <alignment vertical="top"/>
    </xf>
    <xf numFmtId="10" fontId="6" fillId="0" borderId="0" xfId="3" applyNumberFormat="1" applyFont="1" applyAlignment="1">
      <alignment horizontal="right" vertical="top"/>
    </xf>
    <xf numFmtId="0" fontId="57" fillId="0" borderId="0" xfId="0" applyFont="1"/>
    <xf numFmtId="10" fontId="57" fillId="0" borderId="0" xfId="0" applyNumberFormat="1" applyFont="1"/>
    <xf numFmtId="0" fontId="58" fillId="0" borderId="0" xfId="0" applyFont="1" applyAlignment="1">
      <alignment vertical="top"/>
    </xf>
    <xf numFmtId="10" fontId="58" fillId="0" borderId="0" xfId="0" applyNumberFormat="1" applyFont="1" applyAlignment="1">
      <alignment vertical="top"/>
    </xf>
    <xf numFmtId="0" fontId="58" fillId="0" borderId="0" xfId="0" applyFont="1" applyAlignment="1">
      <alignment vertical="top" wrapText="1"/>
    </xf>
    <xf numFmtId="0" fontId="58" fillId="0" borderId="0" xfId="0" applyFont="1" applyAlignment="1">
      <alignment wrapText="1"/>
    </xf>
    <xf numFmtId="165" fontId="58" fillId="0" borderId="0" xfId="0" applyNumberFormat="1" applyFont="1" applyAlignment="1">
      <alignment vertical="top"/>
    </xf>
    <xf numFmtId="0" fontId="23" fillId="2" borderId="0" xfId="0" applyFont="1" applyFill="1"/>
    <xf numFmtId="0" fontId="18" fillId="2" borderId="0" xfId="0" applyFont="1" applyFill="1" applyAlignment="1">
      <alignment horizontal="center" vertical="top"/>
    </xf>
    <xf numFmtId="0" fontId="23" fillId="0" borderId="0" xfId="0" applyFont="1" applyFill="1" applyAlignment="1"/>
    <xf numFmtId="0" fontId="16" fillId="0" borderId="0" xfId="0" applyFont="1" applyAlignment="1">
      <alignment vertical="top"/>
    </xf>
    <xf numFmtId="0" fontId="39" fillId="0" borderId="0" xfId="0" applyFont="1" applyFill="1"/>
    <xf numFmtId="2" fontId="0" fillId="0" borderId="0" xfId="3" applyNumberFormat="1" applyFont="1"/>
    <xf numFmtId="0" fontId="23" fillId="2" borderId="0" xfId="0" applyFont="1" applyFill="1" applyAlignment="1">
      <alignment vertical="top"/>
    </xf>
    <xf numFmtId="0" fontId="23" fillId="2" borderId="0" xfId="0" applyFont="1" applyFill="1" applyAlignment="1">
      <alignment vertical="top" wrapText="1"/>
    </xf>
    <xf numFmtId="165" fontId="23" fillId="2" borderId="0" xfId="3" applyNumberFormat="1" applyFont="1" applyFill="1" applyAlignment="1">
      <alignment vertical="top" wrapText="1"/>
    </xf>
    <xf numFmtId="0" fontId="44" fillId="0" borderId="0" xfId="0" applyFont="1" applyFill="1" applyAlignment="1">
      <alignment horizontal="center" vertical="top"/>
    </xf>
    <xf numFmtId="15" fontId="4" fillId="0" borderId="0" xfId="0" applyNumberFormat="1" applyFont="1" applyFill="1" applyAlignment="1">
      <alignment horizontal="left" vertical="top"/>
    </xf>
    <xf numFmtId="1" fontId="0" fillId="0" borderId="0" xfId="0" applyNumberFormat="1"/>
    <xf numFmtId="1" fontId="0" fillId="0" borderId="7" xfId="0" applyNumberFormat="1" applyBorder="1"/>
    <xf numFmtId="1" fontId="0" fillId="0" borderId="21" xfId="0" applyNumberFormat="1" applyBorder="1"/>
    <xf numFmtId="0" fontId="0" fillId="0" borderId="7" xfId="0" applyFill="1" applyBorder="1"/>
    <xf numFmtId="1" fontId="0" fillId="0" borderId="0" xfId="0" applyNumberFormat="1" applyFill="1"/>
    <xf numFmtId="0" fontId="0" fillId="0" borderId="0" xfId="0" applyFill="1" applyAlignment="1">
      <alignment horizontal="left"/>
    </xf>
    <xf numFmtId="0" fontId="0" fillId="0" borderId="0" xfId="0" applyFill="1" applyAlignment="1">
      <alignment horizontal="left" indent="1"/>
    </xf>
    <xf numFmtId="0" fontId="0" fillId="0" borderId="7" xfId="0" applyFill="1" applyBorder="1" applyAlignment="1">
      <alignment horizontal="left"/>
    </xf>
    <xf numFmtId="1" fontId="0" fillId="0" borderId="7" xfId="0" applyNumberFormat="1" applyFill="1" applyBorder="1"/>
    <xf numFmtId="0" fontId="0" fillId="0" borderId="21" xfId="0" applyFill="1" applyBorder="1"/>
    <xf numFmtId="1" fontId="0" fillId="0" borderId="21" xfId="0" applyNumberFormat="1" applyFill="1" applyBorder="1"/>
    <xf numFmtId="0" fontId="10" fillId="9" borderId="0" xfId="0" applyFont="1" applyFill="1"/>
    <xf numFmtId="0" fontId="35" fillId="9" borderId="0" xfId="0" applyFont="1" applyFill="1" applyAlignment="1">
      <alignment vertical="top"/>
    </xf>
    <xf numFmtId="165" fontId="0" fillId="0" borderId="0" xfId="3" applyNumberFormat="1" applyFont="1" applyFill="1"/>
    <xf numFmtId="0" fontId="19" fillId="4" borderId="0" xfId="0" applyFont="1" applyFill="1" applyAlignment="1">
      <alignment horizontal="center" vertical="top" wrapText="1"/>
    </xf>
    <xf numFmtId="2" fontId="6" fillId="0" borderId="0" xfId="0" applyNumberFormat="1" applyFont="1" applyFill="1" applyAlignment="1">
      <alignment horizontal="right" vertical="top" wrapText="1"/>
    </xf>
    <xf numFmtId="0" fontId="33" fillId="0" borderId="0" xfId="0" applyFont="1" applyFill="1" applyAlignment="1">
      <alignment horizontal="center" vertical="top"/>
    </xf>
    <xf numFmtId="0" fontId="19" fillId="0" borderId="0" xfId="0" applyFont="1" applyFill="1" applyAlignment="1">
      <alignment horizontal="center" vertical="top"/>
    </xf>
    <xf numFmtId="0" fontId="15" fillId="0" borderId="0" xfId="0" applyFont="1" applyFill="1"/>
    <xf numFmtId="2" fontId="15" fillId="0" borderId="0" xfId="0" applyNumberFormat="1" applyFont="1" applyFill="1"/>
    <xf numFmtId="0" fontId="22" fillId="0" borderId="0" xfId="0" applyFont="1" applyFill="1"/>
    <xf numFmtId="0" fontId="15" fillId="0" borderId="21" xfId="0" applyFont="1" applyFill="1" applyBorder="1" applyAlignment="1">
      <alignment horizontal="right"/>
    </xf>
    <xf numFmtId="0" fontId="15" fillId="0" borderId="0" xfId="0" applyFont="1" applyFill="1" applyAlignment="1">
      <alignment horizontal="right"/>
    </xf>
    <xf numFmtId="165" fontId="15" fillId="0" borderId="0" xfId="3" applyNumberFormat="1" applyFont="1" applyFill="1"/>
    <xf numFmtId="165" fontId="15" fillId="0" borderId="0" xfId="0" applyNumberFormat="1" applyFont="1" applyFill="1"/>
    <xf numFmtId="165" fontId="22" fillId="0" borderId="0" xfId="0" applyNumberFormat="1" applyFont="1" applyFill="1"/>
    <xf numFmtId="165" fontId="22" fillId="0" borderId="0" xfId="3" applyNumberFormat="1" applyFont="1" applyFill="1"/>
    <xf numFmtId="0" fontId="15" fillId="0" borderId="0" xfId="0" applyFont="1" applyFill="1" applyAlignment="1">
      <alignment horizontal="left" indent="1"/>
    </xf>
    <xf numFmtId="0" fontId="15" fillId="0" borderId="0" xfId="0" applyFont="1" applyFill="1" applyAlignment="1">
      <alignment horizontal="left" indent="2"/>
    </xf>
    <xf numFmtId="0" fontId="15" fillId="0" borderId="7" xfId="0" applyFont="1" applyFill="1" applyBorder="1" applyAlignment="1">
      <alignment horizontal="left" indent="1"/>
    </xf>
    <xf numFmtId="165" fontId="15" fillId="0" borderId="7" xfId="3" applyNumberFormat="1" applyFont="1" applyFill="1" applyBorder="1"/>
    <xf numFmtId="165" fontId="15" fillId="0" borderId="7" xfId="0" applyNumberFormat="1" applyFont="1" applyFill="1" applyBorder="1"/>
    <xf numFmtId="0" fontId="15" fillId="0" borderId="7" xfId="0" applyFont="1" applyFill="1" applyBorder="1"/>
    <xf numFmtId="0" fontId="34" fillId="0" borderId="0" xfId="0" applyFont="1" applyFill="1" applyAlignment="1">
      <alignment horizontal="left"/>
    </xf>
    <xf numFmtId="9" fontId="0" fillId="0" borderId="0" xfId="3" applyFont="1" applyFill="1"/>
    <xf numFmtId="9" fontId="10" fillId="0" borderId="7" xfId="3" applyFont="1" applyFill="1" applyBorder="1" applyAlignment="1">
      <alignment horizontal="right"/>
    </xf>
    <xf numFmtId="49" fontId="10" fillId="0" borderId="0" xfId="3" applyNumberFormat="1" applyFont="1" applyFill="1"/>
    <xf numFmtId="9" fontId="0" fillId="0" borderId="0" xfId="3" applyNumberFormat="1" applyFont="1" applyFill="1"/>
    <xf numFmtId="49" fontId="10" fillId="0" borderId="0" xfId="3" applyNumberFormat="1" applyFont="1" applyFill="1" applyBorder="1"/>
    <xf numFmtId="9" fontId="0" fillId="0" borderId="0" xfId="3" applyFont="1" applyFill="1" applyBorder="1"/>
    <xf numFmtId="9" fontId="10" fillId="0" borderId="7" xfId="3" applyFont="1" applyFill="1" applyBorder="1"/>
    <xf numFmtId="9" fontId="1" fillId="0" borderId="7" xfId="3" applyFont="1" applyFill="1" applyBorder="1"/>
    <xf numFmtId="9" fontId="0" fillId="0" borderId="7" xfId="3" applyFont="1" applyFill="1" applyBorder="1"/>
    <xf numFmtId="49" fontId="42" fillId="0" borderId="0" xfId="3" applyNumberFormat="1" applyFont="1" applyFill="1" applyAlignment="1">
      <alignment wrapText="1"/>
    </xf>
    <xf numFmtId="0" fontId="10" fillId="0" borderId="0" xfId="0" applyFont="1" applyFill="1"/>
    <xf numFmtId="165" fontId="10" fillId="0" borderId="0" xfId="3" applyNumberFormat="1" applyFont="1" applyFill="1"/>
    <xf numFmtId="165" fontId="10" fillId="0" borderId="0" xfId="3" applyNumberFormat="1" applyFont="1" applyFill="1" applyBorder="1"/>
    <xf numFmtId="9" fontId="10" fillId="0" borderId="7" xfId="0" applyNumberFormat="1" applyFont="1" applyFill="1" applyBorder="1" applyAlignment="1">
      <alignment horizontal="right"/>
    </xf>
    <xf numFmtId="49" fontId="10" fillId="0" borderId="0" xfId="0" applyNumberFormat="1" applyFont="1" applyFill="1"/>
    <xf numFmtId="0" fontId="10" fillId="0" borderId="7" xfId="0" applyFont="1" applyFill="1" applyBorder="1"/>
    <xf numFmtId="165" fontId="0" fillId="0" borderId="7" xfId="0" applyNumberFormat="1" applyFill="1" applyBorder="1"/>
    <xf numFmtId="0" fontId="44" fillId="9" borderId="0" xfId="0" applyFont="1" applyFill="1" applyAlignment="1">
      <alignment horizontal="center" vertical="top"/>
    </xf>
    <xf numFmtId="0" fontId="10" fillId="11" borderId="0" xfId="0" applyFont="1" applyFill="1"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10" fillId="9" borderId="0" xfId="0" applyFont="1" applyFill="1" applyAlignment="1">
      <alignment horizontal="left" vertical="top" wrapText="1"/>
    </xf>
    <xf numFmtId="0" fontId="0" fillId="9" borderId="0" xfId="0" applyFill="1" applyAlignment="1">
      <alignment horizontal="center"/>
    </xf>
    <xf numFmtId="0" fontId="0" fillId="0" borderId="2" xfId="0" applyBorder="1" applyAlignment="1">
      <alignment horizontal="left" vertical="top" wrapText="1"/>
    </xf>
    <xf numFmtId="0" fontId="10" fillId="14" borderId="1" xfId="0" applyFont="1" applyFill="1" applyBorder="1" applyAlignment="1">
      <alignment horizontal="center"/>
    </xf>
    <xf numFmtId="0" fontId="10" fillId="14" borderId="2" xfId="0" applyFont="1" applyFill="1" applyBorder="1" applyAlignment="1">
      <alignment horizontal="center"/>
    </xf>
    <xf numFmtId="0" fontId="10" fillId="14" borderId="3" xfId="0" applyFont="1" applyFill="1" applyBorder="1" applyAlignment="1">
      <alignment horizontal="center"/>
    </xf>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10" fillId="15" borderId="1" xfId="0" applyFont="1" applyFill="1" applyBorder="1" applyAlignment="1">
      <alignment horizontal="center"/>
    </xf>
    <xf numFmtId="0" fontId="10" fillId="15" borderId="2" xfId="0" applyFont="1" applyFill="1" applyBorder="1" applyAlignment="1">
      <alignment horizontal="center"/>
    </xf>
    <xf numFmtId="0" fontId="10" fillId="15" borderId="3" xfId="0" applyFont="1" applyFill="1" applyBorder="1" applyAlignment="1">
      <alignment horizontal="center"/>
    </xf>
    <xf numFmtId="2" fontId="15" fillId="0" borderId="7" xfId="0" applyNumberFormat="1" applyFont="1" applyFill="1" applyBorder="1" applyAlignment="1">
      <alignment horizontal="center"/>
    </xf>
    <xf numFmtId="0" fontId="23" fillId="9" borderId="0" xfId="0" applyFont="1" applyFill="1" applyAlignment="1">
      <alignment horizontal="left"/>
    </xf>
    <xf numFmtId="0" fontId="39" fillId="9" borderId="0" xfId="0" applyFont="1" applyFill="1" applyAlignment="1">
      <alignment horizontal="left"/>
    </xf>
    <xf numFmtId="0" fontId="10" fillId="9" borderId="0" xfId="0" applyFont="1" applyFill="1" applyAlignment="1">
      <alignment horizontal="center"/>
    </xf>
    <xf numFmtId="0" fontId="57" fillId="0" borderId="0" xfId="0" applyFont="1" applyAlignment="1">
      <alignment horizontal="left" vertical="center" wrapText="1"/>
    </xf>
    <xf numFmtId="0" fontId="34" fillId="0" borderId="0" xfId="0" applyFont="1" applyFill="1" applyAlignment="1">
      <alignment horizontal="left"/>
    </xf>
    <xf numFmtId="0" fontId="31" fillId="9" borderId="0" xfId="0" applyFont="1" applyFill="1" applyAlignment="1">
      <alignment horizontal="left" vertical="top" wrapText="1"/>
    </xf>
    <xf numFmtId="0" fontId="35" fillId="0" borderId="0" xfId="0" applyFont="1" applyAlignment="1">
      <alignment horizontal="center" vertical="top"/>
    </xf>
    <xf numFmtId="0" fontId="41" fillId="0" borderId="0" xfId="0" applyFont="1" applyAlignment="1">
      <alignment horizontal="left" vertical="top" wrapText="1"/>
    </xf>
    <xf numFmtId="0" fontId="0" fillId="0" borderId="9" xfId="0" applyBorder="1" applyAlignment="1">
      <alignment horizontal="left" vertical="top"/>
    </xf>
    <xf numFmtId="0" fontId="0" fillId="0" borderId="10" xfId="0" applyBorder="1" applyAlignment="1">
      <alignment horizontal="left" vertical="top"/>
    </xf>
    <xf numFmtId="0" fontId="53" fillId="20" borderId="19" xfId="4" applyFont="1" applyFill="1" applyBorder="1" applyAlignment="1">
      <alignment horizontal="right" vertical="top" wrapText="1"/>
    </xf>
    <xf numFmtId="0" fontId="53" fillId="20" borderId="18" xfId="4" applyFont="1" applyFill="1" applyBorder="1" applyAlignment="1">
      <alignment horizontal="right" vertical="top" wrapText="1"/>
    </xf>
    <xf numFmtId="0" fontId="52" fillId="20" borderId="19" xfId="4" applyFont="1" applyFill="1" applyBorder="1" applyAlignment="1">
      <alignment vertical="top" wrapText="1"/>
    </xf>
    <xf numFmtId="0" fontId="52" fillId="20" borderId="20" xfId="4" applyFont="1" applyFill="1" applyBorder="1" applyAlignment="1">
      <alignment vertical="top" wrapText="1"/>
    </xf>
    <xf numFmtId="0" fontId="52" fillId="20" borderId="18" xfId="4" applyFont="1" applyFill="1" applyBorder="1" applyAlignment="1">
      <alignment vertical="top" wrapText="1"/>
    </xf>
    <xf numFmtId="0" fontId="53" fillId="19" borderId="19" xfId="4" applyFont="1" applyFill="1" applyBorder="1" applyAlignment="1">
      <alignment horizontal="right" vertical="center" wrapText="1"/>
    </xf>
    <xf numFmtId="0" fontId="53" fillId="19" borderId="18" xfId="4" applyFont="1" applyFill="1" applyBorder="1" applyAlignment="1">
      <alignment horizontal="right" vertical="center" wrapText="1"/>
    </xf>
  </cellXfs>
  <cellStyles count="6">
    <cellStyle name="Comma" xfId="1" builtinId="3"/>
    <cellStyle name="Hyperlink" xfId="2" builtinId="8"/>
    <cellStyle name="Normal" xfId="0" builtinId="0"/>
    <cellStyle name="Normal 2" xfId="4" xr:uid="{00000000-0005-0000-0000-000003000000}"/>
    <cellStyle name="Normal 3" xfId="5" xr:uid="{00000000-0005-0000-0000-000004000000}"/>
    <cellStyle name="Percent" xfId="3" builtinId="5"/>
  </cellStyles>
  <dxfs count="5">
    <dxf>
      <fill>
        <patternFill>
          <bgColor theme="9" tint="0.79998168889431442"/>
        </patternFill>
      </fill>
    </dxf>
    <dxf>
      <fill>
        <patternFill>
          <bgColor theme="8" tint="0.59996337778862885"/>
        </patternFill>
      </fill>
    </dxf>
    <dxf>
      <fill>
        <patternFill>
          <bgColor theme="9" tint="0.7999816888943144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CCFFFF"/>
      <color rgb="FFCC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[1]Workings!$C$26</c:f>
              <c:strCache>
                <c:ptCount val="1"/>
                <c:pt idx="0">
                  <c:v>18/19</c:v>
                </c:pt>
              </c:strCache>
            </c:strRef>
          </c:tx>
          <c:spPr>
            <a:solidFill>
              <a:schemeClr val="accent1"/>
            </a:solidFill>
            <a:ln>
              <a:noFill/>
            </a:ln>
            <a:effectLst/>
          </c:spPr>
          <c:invertIfNegative val="0"/>
          <c:cat>
            <c:strRef>
              <c:f>[1]Workings!$B$27:$B$29</c:f>
              <c:strCache>
                <c:ptCount val="3"/>
                <c:pt idx="0">
                  <c:v>Samoa</c:v>
                </c:pt>
                <c:pt idx="1">
                  <c:v>Tonga</c:v>
                </c:pt>
                <c:pt idx="2">
                  <c:v>Fiji</c:v>
                </c:pt>
              </c:strCache>
            </c:strRef>
          </c:cat>
          <c:val>
            <c:numRef>
              <c:f>[1]Workings!$C$27:$C$29</c:f>
              <c:numCache>
                <c:formatCode>General</c:formatCode>
                <c:ptCount val="3"/>
                <c:pt idx="0">
                  <c:v>48</c:v>
                </c:pt>
                <c:pt idx="1">
                  <c:v>43.1</c:v>
                </c:pt>
                <c:pt idx="2">
                  <c:v>49.3</c:v>
                </c:pt>
              </c:numCache>
            </c:numRef>
          </c:val>
          <c:extLst>
            <c:ext xmlns:c16="http://schemas.microsoft.com/office/drawing/2014/chart" uri="{C3380CC4-5D6E-409C-BE32-E72D297353CC}">
              <c16:uniqueId val="{00000000-3010-450B-8735-7E698105DD4A}"/>
            </c:ext>
          </c:extLst>
        </c:ser>
        <c:ser>
          <c:idx val="1"/>
          <c:order val="1"/>
          <c:tx>
            <c:strRef>
              <c:f>[1]Workings!$D$26</c:f>
              <c:strCache>
                <c:ptCount val="1"/>
                <c:pt idx="0">
                  <c:v>19/20</c:v>
                </c:pt>
              </c:strCache>
            </c:strRef>
          </c:tx>
          <c:spPr>
            <a:solidFill>
              <a:schemeClr val="accent2"/>
            </a:solidFill>
            <a:ln>
              <a:noFill/>
            </a:ln>
            <a:effectLst/>
          </c:spPr>
          <c:invertIfNegative val="0"/>
          <c:cat>
            <c:strRef>
              <c:f>[1]Workings!$B$27:$B$29</c:f>
              <c:strCache>
                <c:ptCount val="3"/>
                <c:pt idx="0">
                  <c:v>Samoa</c:v>
                </c:pt>
                <c:pt idx="1">
                  <c:v>Tonga</c:v>
                </c:pt>
                <c:pt idx="2">
                  <c:v>Fiji</c:v>
                </c:pt>
              </c:strCache>
            </c:strRef>
          </c:cat>
          <c:val>
            <c:numRef>
              <c:f>[1]Workings!$D$27:$D$29</c:f>
              <c:numCache>
                <c:formatCode>General</c:formatCode>
                <c:ptCount val="3"/>
                <c:pt idx="0">
                  <c:v>48</c:v>
                </c:pt>
                <c:pt idx="1">
                  <c:v>46.1</c:v>
                </c:pt>
                <c:pt idx="2">
                  <c:v>65.599999999999994</c:v>
                </c:pt>
              </c:numCache>
            </c:numRef>
          </c:val>
          <c:extLst>
            <c:ext xmlns:c16="http://schemas.microsoft.com/office/drawing/2014/chart" uri="{C3380CC4-5D6E-409C-BE32-E72D297353CC}">
              <c16:uniqueId val="{00000001-3010-450B-8735-7E698105DD4A}"/>
            </c:ext>
          </c:extLst>
        </c:ser>
        <c:ser>
          <c:idx val="2"/>
          <c:order val="2"/>
          <c:tx>
            <c:strRef>
              <c:f>[1]Workings!$E$26</c:f>
              <c:strCache>
                <c:ptCount val="1"/>
                <c:pt idx="0">
                  <c:v>20/21</c:v>
                </c:pt>
              </c:strCache>
            </c:strRef>
          </c:tx>
          <c:spPr>
            <a:solidFill>
              <a:schemeClr val="accent3"/>
            </a:solidFill>
            <a:ln>
              <a:noFill/>
            </a:ln>
            <a:effectLst/>
          </c:spPr>
          <c:invertIfNegative val="0"/>
          <c:cat>
            <c:strRef>
              <c:f>[1]Workings!$B$27:$B$29</c:f>
              <c:strCache>
                <c:ptCount val="3"/>
                <c:pt idx="0">
                  <c:v>Samoa</c:v>
                </c:pt>
                <c:pt idx="1">
                  <c:v>Tonga</c:v>
                </c:pt>
                <c:pt idx="2">
                  <c:v>Fiji</c:v>
                </c:pt>
              </c:strCache>
            </c:strRef>
          </c:cat>
          <c:val>
            <c:numRef>
              <c:f>[1]Workings!$E$27:$E$29</c:f>
              <c:numCache>
                <c:formatCode>General</c:formatCode>
                <c:ptCount val="3"/>
                <c:pt idx="0">
                  <c:v>44</c:v>
                </c:pt>
                <c:pt idx="1">
                  <c:v>49</c:v>
                </c:pt>
                <c:pt idx="2">
                  <c:v>83.4</c:v>
                </c:pt>
              </c:numCache>
            </c:numRef>
          </c:val>
          <c:extLst>
            <c:ext xmlns:c16="http://schemas.microsoft.com/office/drawing/2014/chart" uri="{C3380CC4-5D6E-409C-BE32-E72D297353CC}">
              <c16:uniqueId val="{00000002-3010-450B-8735-7E698105DD4A}"/>
            </c:ext>
          </c:extLst>
        </c:ser>
        <c:dLbls>
          <c:showLegendKey val="0"/>
          <c:showVal val="0"/>
          <c:showCatName val="0"/>
          <c:showSerName val="0"/>
          <c:showPercent val="0"/>
          <c:showBubbleSize val="0"/>
        </c:dLbls>
        <c:gapWidth val="219"/>
        <c:overlap val="-27"/>
        <c:axId val="545113520"/>
        <c:axId val="545114832"/>
      </c:barChart>
      <c:catAx>
        <c:axId val="54511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4832"/>
        <c:crosses val="autoZero"/>
        <c:auto val="1"/>
        <c:lblAlgn val="ctr"/>
        <c:lblOffset val="100"/>
        <c:noMultiLvlLbl val="0"/>
      </c:catAx>
      <c:valAx>
        <c:axId val="54511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assistance'!$I$72</c:f>
              <c:strCache>
                <c:ptCount val="1"/>
                <c:pt idx="0">
                  <c:v>Expenditure per capita</c:v>
                </c:pt>
              </c:strCache>
            </c:strRef>
          </c:tx>
          <c:spPr>
            <a:solidFill>
              <a:schemeClr val="accent1"/>
            </a:solidFill>
            <a:ln>
              <a:noFill/>
            </a:ln>
            <a:effectLst/>
          </c:spPr>
          <c:invertIfNegative val="0"/>
          <c:cat>
            <c:strRef>
              <c:f>'Expenditure,external assistance'!$J$71:$P$71</c:f>
              <c:strCache>
                <c:ptCount val="7"/>
                <c:pt idx="0">
                  <c:v>PNG</c:v>
                </c:pt>
                <c:pt idx="1">
                  <c:v>Fiji</c:v>
                </c:pt>
                <c:pt idx="2">
                  <c:v>Vanuatu</c:v>
                </c:pt>
                <c:pt idx="3">
                  <c:v>Samoa</c:v>
                </c:pt>
                <c:pt idx="4">
                  <c:v>Solomon Islands</c:v>
                </c:pt>
                <c:pt idx="5">
                  <c:v>Tonga</c:v>
                </c:pt>
                <c:pt idx="6">
                  <c:v>Timor Leste</c:v>
                </c:pt>
              </c:strCache>
            </c:strRef>
          </c:cat>
          <c:val>
            <c:numRef>
              <c:f>'Expenditure,external assistance'!$J$72:$P$72</c:f>
              <c:numCache>
                <c:formatCode>0.00</c:formatCode>
                <c:ptCount val="7"/>
                <c:pt idx="0">
                  <c:v>19.648938957296306</c:v>
                </c:pt>
                <c:pt idx="1">
                  <c:v>52.164840897235266</c:v>
                </c:pt>
                <c:pt idx="2">
                  <c:v>126.89703514141466</c:v>
                </c:pt>
                <c:pt idx="3">
                  <c:v>73.282442748091597</c:v>
                </c:pt>
                <c:pt idx="4">
                  <c:v>4.3914592715612174E-3</c:v>
                </c:pt>
                <c:pt idx="5">
                  <c:v>256.1287446502709</c:v>
                </c:pt>
                <c:pt idx="6">
                  <c:v>107.14285714285714</c:v>
                </c:pt>
              </c:numCache>
            </c:numRef>
          </c:val>
          <c:extLst>
            <c:ext xmlns:c16="http://schemas.microsoft.com/office/drawing/2014/chart" uri="{C3380CC4-5D6E-409C-BE32-E72D297353CC}">
              <c16:uniqueId val="{00000000-DCBA-4C49-BFB6-7BE751E3C741}"/>
            </c:ext>
          </c:extLst>
        </c:ser>
        <c:dLbls>
          <c:showLegendKey val="0"/>
          <c:showVal val="0"/>
          <c:showCatName val="0"/>
          <c:showSerName val="0"/>
          <c:showPercent val="0"/>
          <c:showBubbleSize val="0"/>
        </c:dLbls>
        <c:gapWidth val="219"/>
        <c:overlap val="-27"/>
        <c:axId val="829876680"/>
        <c:axId val="829870120"/>
      </c:barChart>
      <c:catAx>
        <c:axId val="829876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870120"/>
        <c:crosses val="autoZero"/>
        <c:auto val="1"/>
        <c:lblAlgn val="ctr"/>
        <c:lblOffset val="100"/>
        <c:noMultiLvlLbl val="0"/>
      </c:catAx>
      <c:valAx>
        <c:axId val="829870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USD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29876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COVID aid</a:t>
            </a:r>
            <a:r>
              <a:rPr lang="en-GB" baseline="0"/>
              <a:t> received to 12 August (</a:t>
            </a:r>
            <a:r>
              <a:rPr lang="en-GB"/>
              <a:t>% GDP)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assistance'!$O$52</c:f>
              <c:strCache>
                <c:ptCount val="1"/>
                <c:pt idx="0">
                  <c:v>% GDP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'Expenditure,external assistance'!$P$51:$V$51</c:f>
              <c:strCache>
                <c:ptCount val="7"/>
                <c:pt idx="0">
                  <c:v>Timor-Leste</c:v>
                </c:pt>
                <c:pt idx="1">
                  <c:v>PNG</c:v>
                </c:pt>
                <c:pt idx="2">
                  <c:v>Vanuatu</c:v>
                </c:pt>
                <c:pt idx="3">
                  <c:v>Fiji</c:v>
                </c:pt>
                <c:pt idx="4">
                  <c:v>Samoa</c:v>
                </c:pt>
                <c:pt idx="5">
                  <c:v>Solomon Islands</c:v>
                </c:pt>
                <c:pt idx="6">
                  <c:v>Tonga</c:v>
                </c:pt>
              </c:strCache>
            </c:strRef>
          </c:cat>
          <c:val>
            <c:numRef>
              <c:f>'Expenditure,external assistance'!$P$52:$V$52</c:f>
              <c:numCache>
                <c:formatCode>0.0%</c:formatCode>
                <c:ptCount val="7"/>
                <c:pt idx="0">
                  <c:v>6.420297848869278E-3</c:v>
                </c:pt>
                <c:pt idx="1">
                  <c:v>1.5912564863420426E-2</c:v>
                </c:pt>
                <c:pt idx="2">
                  <c:v>3.7783413653916728E-2</c:v>
                </c:pt>
                <c:pt idx="3">
                  <c:v>4.7831576561513219E-2</c:v>
                </c:pt>
                <c:pt idx="4">
                  <c:v>6.904904722452361E-2</c:v>
                </c:pt>
                <c:pt idx="5">
                  <c:v>7.3043988269794732E-2</c:v>
                </c:pt>
                <c:pt idx="6">
                  <c:v>9.3904671483404825E-2</c:v>
                </c:pt>
              </c:numCache>
            </c:numRef>
          </c:val>
          <c:extLst>
            <c:ext xmlns:c16="http://schemas.microsoft.com/office/drawing/2014/chart" uri="{C3380CC4-5D6E-409C-BE32-E72D297353CC}">
              <c16:uniqueId val="{00000000-1B2D-4287-92F2-D552FE7F923C}"/>
            </c:ext>
          </c:extLst>
        </c:ser>
        <c:dLbls>
          <c:showLegendKey val="0"/>
          <c:showVal val="0"/>
          <c:showCatName val="0"/>
          <c:showSerName val="0"/>
          <c:showPercent val="0"/>
          <c:showBubbleSize val="0"/>
        </c:dLbls>
        <c:gapWidth val="219"/>
        <c:overlap val="-27"/>
        <c:axId val="542591016"/>
        <c:axId val="542591672"/>
      </c:barChart>
      <c:catAx>
        <c:axId val="542591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42591672"/>
        <c:crosses val="autoZero"/>
        <c:auto val="1"/>
        <c:lblAlgn val="ctr"/>
        <c:lblOffset val="100"/>
        <c:noMultiLvlLbl val="0"/>
      </c:catAx>
      <c:valAx>
        <c:axId val="542591672"/>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42591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'Revenue analysis'!$A$8</c:f>
              <c:strCache>
                <c:ptCount val="1"/>
                <c:pt idx="0">
                  <c:v>Fall in own  revenue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'Revenue analysis'!$B$8:$H$8</c15:sqref>
                  </c15:fullRef>
                </c:ext>
              </c:extLst>
              <c:f>('Revenue analysis'!$B$8:$C$8,'Revenue analysis'!$G$8)</c:f>
              <c:strCache>
                <c:ptCount val="3"/>
                <c:pt idx="0">
                  <c:v>Fiji</c:v>
                </c:pt>
                <c:pt idx="1">
                  <c:v>PNG</c:v>
                </c:pt>
                <c:pt idx="2">
                  <c:v>Tonga</c:v>
                </c:pt>
              </c:strCache>
            </c:strRef>
          </c:cat>
          <c:val>
            <c:numRef>
              <c:extLst>
                <c:ext xmlns:c15="http://schemas.microsoft.com/office/drawing/2012/chart" uri="{02D57815-91ED-43cb-92C2-25804820EDAC}">
                  <c15:fullRef>
                    <c15:sqref>'Revenue analysis'!$B$9:$H$9</c15:sqref>
                  </c15:fullRef>
                </c:ext>
              </c:extLst>
              <c:f>('Revenue analysis'!$B$9:$C$9,'Revenue analysis'!$G$9)</c:f>
              <c:numCache>
                <c:formatCode>0%</c:formatCode>
                <c:ptCount val="3"/>
                <c:pt idx="0">
                  <c:v>0.28295810690359124</c:v>
                </c:pt>
                <c:pt idx="1">
                  <c:v>0.15193758404047619</c:v>
                </c:pt>
                <c:pt idx="2">
                  <c:v>0.18645731108930325</c:v>
                </c:pt>
              </c:numCache>
            </c:numRef>
          </c:val>
          <c:extLst>
            <c:ext xmlns:c16="http://schemas.microsoft.com/office/drawing/2014/chart" uri="{C3380CC4-5D6E-409C-BE32-E72D297353CC}">
              <c16:uniqueId val="{00000000-DA11-4CC3-8A02-D987F1B82E36}"/>
            </c:ext>
          </c:extLst>
        </c:ser>
        <c:dLbls>
          <c:showLegendKey val="0"/>
          <c:showVal val="0"/>
          <c:showCatName val="0"/>
          <c:showSerName val="0"/>
          <c:showPercent val="0"/>
          <c:showBubbleSize val="0"/>
        </c:dLbls>
        <c:gapWidth val="219"/>
        <c:overlap val="-27"/>
        <c:axId val="591766512"/>
        <c:axId val="591769136"/>
      </c:barChart>
      <c:catAx>
        <c:axId val="59176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69136"/>
        <c:crosses val="autoZero"/>
        <c:auto val="1"/>
        <c:lblAlgn val="ctr"/>
        <c:lblOffset val="100"/>
        <c:noMultiLvlLbl val="0"/>
      </c:catAx>
      <c:valAx>
        <c:axId val="591769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66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'Sectoral expenditure analysis'!$B$4</c:f>
              <c:strCache>
                <c:ptCount val="1"/>
                <c:pt idx="0">
                  <c:v>Health</c:v>
                </c:pt>
              </c:strCache>
            </c:strRef>
          </c:tx>
          <c:spPr>
            <a:solidFill>
              <a:schemeClr val="accent1"/>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analysis'!$C$4:$J$4</c:f>
              <c:numCache>
                <c:formatCode>0%</c:formatCode>
                <c:ptCount val="8"/>
                <c:pt idx="0">
                  <c:v>0.40001400000000004</c:v>
                </c:pt>
                <c:pt idx="1">
                  <c:v>0.21166666666666667</c:v>
                </c:pt>
                <c:pt idx="2">
                  <c:v>0.5287760416666667</c:v>
                </c:pt>
                <c:pt idx="3">
                  <c:v>2.2286605749944285E-2</c:v>
                </c:pt>
                <c:pt idx="4">
                  <c:v>0</c:v>
                </c:pt>
                <c:pt idx="5">
                  <c:v>0.32158333333333333</c:v>
                </c:pt>
                <c:pt idx="6">
                  <c:v>0</c:v>
                </c:pt>
                <c:pt idx="7">
                  <c:v>0.21204666391665872</c:v>
                </c:pt>
              </c:numCache>
            </c:numRef>
          </c:val>
          <c:extLst>
            <c:ext xmlns:c16="http://schemas.microsoft.com/office/drawing/2014/chart" uri="{C3380CC4-5D6E-409C-BE32-E72D297353CC}">
              <c16:uniqueId val="{00000000-E4C4-4157-8C73-A54B3BE9ED25}"/>
            </c:ext>
          </c:extLst>
        </c:ser>
        <c:ser>
          <c:idx val="1"/>
          <c:order val="1"/>
          <c:tx>
            <c:strRef>
              <c:f>'Sectoral expenditure analysis'!$B$5</c:f>
              <c:strCache>
                <c:ptCount val="1"/>
                <c:pt idx="0">
                  <c:v>Safety net</c:v>
                </c:pt>
              </c:strCache>
            </c:strRef>
          </c:tx>
          <c:spPr>
            <a:solidFill>
              <a:schemeClr val="accent2"/>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analysis'!$C$5:$J$5</c:f>
              <c:numCache>
                <c:formatCode>0%</c:formatCode>
                <c:ptCount val="8"/>
                <c:pt idx="0">
                  <c:v>0.20597100000000002</c:v>
                </c:pt>
                <c:pt idx="1">
                  <c:v>0</c:v>
                </c:pt>
                <c:pt idx="2">
                  <c:v>7.7781249999999996E-2</c:v>
                </c:pt>
                <c:pt idx="3">
                  <c:v>1.1143302874972142E-2</c:v>
                </c:pt>
                <c:pt idx="4">
                  <c:v>0.42799999999999999</c:v>
                </c:pt>
                <c:pt idx="5">
                  <c:v>8.323333333333334E-2</c:v>
                </c:pt>
                <c:pt idx="6">
                  <c:v>0.71657335714285719</c:v>
                </c:pt>
                <c:pt idx="7">
                  <c:v>0.21752889190730892</c:v>
                </c:pt>
              </c:numCache>
            </c:numRef>
          </c:val>
          <c:extLst>
            <c:ext xmlns:c16="http://schemas.microsoft.com/office/drawing/2014/chart" uri="{C3380CC4-5D6E-409C-BE32-E72D297353CC}">
              <c16:uniqueId val="{00000001-E4C4-4157-8C73-A54B3BE9ED25}"/>
            </c:ext>
          </c:extLst>
        </c:ser>
        <c:ser>
          <c:idx val="2"/>
          <c:order val="2"/>
          <c:tx>
            <c:strRef>
              <c:f>'Sectoral expenditure analysis'!$B$6</c:f>
              <c:strCache>
                <c:ptCount val="1"/>
                <c:pt idx="0">
                  <c:v>Business support</c:v>
                </c:pt>
              </c:strCache>
            </c:strRef>
          </c:tx>
          <c:spPr>
            <a:solidFill>
              <a:schemeClr val="accent3"/>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analysis'!$C$6:$J$6</c:f>
              <c:numCache>
                <c:formatCode>0%</c:formatCode>
                <c:ptCount val="8"/>
                <c:pt idx="0">
                  <c:v>0.05</c:v>
                </c:pt>
                <c:pt idx="1">
                  <c:v>0.26163800000000004</c:v>
                </c:pt>
                <c:pt idx="2">
                  <c:v>7.8125E-2</c:v>
                </c:pt>
                <c:pt idx="3">
                  <c:v>0.15154891909962115</c:v>
                </c:pt>
                <c:pt idx="4">
                  <c:v>0</c:v>
                </c:pt>
                <c:pt idx="5">
                  <c:v>0.28999999999999998</c:v>
                </c:pt>
                <c:pt idx="6">
                  <c:v>9.5238095238095247E-2</c:v>
                </c:pt>
                <c:pt idx="7">
                  <c:v>0.13236428776253092</c:v>
                </c:pt>
              </c:numCache>
            </c:numRef>
          </c:val>
          <c:extLst>
            <c:ext xmlns:c16="http://schemas.microsoft.com/office/drawing/2014/chart" uri="{C3380CC4-5D6E-409C-BE32-E72D297353CC}">
              <c16:uniqueId val="{00000002-E4C4-4157-8C73-A54B3BE9ED25}"/>
            </c:ext>
          </c:extLst>
        </c:ser>
        <c:ser>
          <c:idx val="3"/>
          <c:order val="3"/>
          <c:tx>
            <c:strRef>
              <c:f>'Sectoral expenditure analysis'!$B$7</c:f>
              <c:strCache>
                <c:ptCount val="1"/>
                <c:pt idx="0">
                  <c:v>Food security</c:v>
                </c:pt>
              </c:strCache>
            </c:strRef>
          </c:tx>
          <c:spPr>
            <a:solidFill>
              <a:schemeClr val="accent6">
                <a:lumMod val="40000"/>
                <a:lumOff val="60000"/>
              </a:schemeClr>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analysis'!$C$7:$J$7</c:f>
              <c:numCache>
                <c:formatCode>0%</c:formatCode>
                <c:ptCount val="8"/>
                <c:pt idx="0">
                  <c:v>1.0010999999999999E-2</c:v>
                </c:pt>
                <c:pt idx="1">
                  <c:v>0.27166666666666667</c:v>
                </c:pt>
                <c:pt idx="2">
                  <c:v>9.1427083333333339E-2</c:v>
                </c:pt>
                <c:pt idx="3">
                  <c:v>0.15600624024960999</c:v>
                </c:pt>
                <c:pt idx="4">
                  <c:v>1.6266666666666665E-2</c:v>
                </c:pt>
                <c:pt idx="5">
                  <c:v>5.3344999999999997E-2</c:v>
                </c:pt>
                <c:pt idx="6">
                  <c:v>0</c:v>
                </c:pt>
                <c:pt idx="7">
                  <c:v>8.5531808130896655E-2</c:v>
                </c:pt>
              </c:numCache>
            </c:numRef>
          </c:val>
          <c:extLst>
            <c:ext xmlns:c16="http://schemas.microsoft.com/office/drawing/2014/chart" uri="{C3380CC4-5D6E-409C-BE32-E72D297353CC}">
              <c16:uniqueId val="{00000003-E4C4-4157-8C73-A54B3BE9ED25}"/>
            </c:ext>
          </c:extLst>
        </c:ser>
        <c:ser>
          <c:idx val="4"/>
          <c:order val="4"/>
          <c:tx>
            <c:strRef>
              <c:f>'Sectoral expenditure analysis'!$B$8</c:f>
              <c:strCache>
                <c:ptCount val="1"/>
                <c:pt idx="0">
                  <c:v>Infrastructure</c:v>
                </c:pt>
              </c:strCache>
            </c:strRef>
          </c:tx>
          <c:spPr>
            <a:solidFill>
              <a:srgbClr val="FF0000"/>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analysis'!$C$8:$J$8</c:f>
              <c:numCache>
                <c:formatCode>0%</c:formatCode>
                <c:ptCount val="8"/>
                <c:pt idx="0">
                  <c:v>0</c:v>
                </c:pt>
                <c:pt idx="1">
                  <c:v>0</c:v>
                </c:pt>
                <c:pt idx="2">
                  <c:v>0</c:v>
                </c:pt>
                <c:pt idx="3">
                  <c:v>0.20057945174949857</c:v>
                </c:pt>
                <c:pt idx="4">
                  <c:v>0</c:v>
                </c:pt>
                <c:pt idx="5">
                  <c:v>6.6666666666666666E-2</c:v>
                </c:pt>
                <c:pt idx="6">
                  <c:v>0</c:v>
                </c:pt>
                <c:pt idx="7">
                  <c:v>3.8178016916595038E-2</c:v>
                </c:pt>
              </c:numCache>
            </c:numRef>
          </c:val>
          <c:extLst>
            <c:ext xmlns:c16="http://schemas.microsoft.com/office/drawing/2014/chart" uri="{C3380CC4-5D6E-409C-BE32-E72D297353CC}">
              <c16:uniqueId val="{00000004-E4C4-4157-8C73-A54B3BE9ED25}"/>
            </c:ext>
          </c:extLst>
        </c:ser>
        <c:ser>
          <c:idx val="5"/>
          <c:order val="5"/>
          <c:tx>
            <c:strRef>
              <c:f>'Sectoral expenditure analysis'!$B$9</c:f>
              <c:strCache>
                <c:ptCount val="1"/>
                <c:pt idx="0">
                  <c:v>Other</c:v>
                </c:pt>
              </c:strCache>
            </c:strRef>
          </c:tx>
          <c:spPr>
            <a:solidFill>
              <a:srgbClr val="7030A0"/>
            </a:solidFill>
            <a:ln>
              <a:noFill/>
            </a:ln>
            <a:effectLst/>
          </c:spPr>
          <c:invertIfNegative val="0"/>
          <c:cat>
            <c:strRef>
              <c:f>'Sectoral expenditure analysis'!$C$3:$J$3</c:f>
              <c:strCache>
                <c:ptCount val="8"/>
                <c:pt idx="0">
                  <c:v>Fiji</c:v>
                </c:pt>
                <c:pt idx="1">
                  <c:v>PNG</c:v>
                </c:pt>
                <c:pt idx="2">
                  <c:v>Samoa</c:v>
                </c:pt>
                <c:pt idx="3">
                  <c:v>SI</c:v>
                </c:pt>
                <c:pt idx="4">
                  <c:v>TL</c:v>
                </c:pt>
                <c:pt idx="5">
                  <c:v>Tonga</c:v>
                </c:pt>
                <c:pt idx="6">
                  <c:v>Vanuatu</c:v>
                </c:pt>
                <c:pt idx="7">
                  <c:v>Average</c:v>
                </c:pt>
              </c:strCache>
            </c:strRef>
          </c:cat>
          <c:val>
            <c:numRef>
              <c:f>'Sectoral expenditure analysis'!$C$9:$J$9</c:f>
              <c:numCache>
                <c:formatCode>0%</c:formatCode>
                <c:ptCount val="8"/>
                <c:pt idx="0">
                  <c:v>0.33400399999999997</c:v>
                </c:pt>
                <c:pt idx="1">
                  <c:v>0.25502866666666657</c:v>
                </c:pt>
                <c:pt idx="2">
                  <c:v>0.2238906249999999</c:v>
                </c:pt>
                <c:pt idx="3">
                  <c:v>0.45843548027635384</c:v>
                </c:pt>
                <c:pt idx="4">
                  <c:v>0.55573333333333341</c:v>
                </c:pt>
                <c:pt idx="5">
                  <c:v>0.18517166666666673</c:v>
                </c:pt>
                <c:pt idx="6">
                  <c:v>0.18818854761904757</c:v>
                </c:pt>
                <c:pt idx="7">
                  <c:v>0.31435033136600976</c:v>
                </c:pt>
              </c:numCache>
            </c:numRef>
          </c:val>
          <c:extLst>
            <c:ext xmlns:c16="http://schemas.microsoft.com/office/drawing/2014/chart" uri="{C3380CC4-5D6E-409C-BE32-E72D297353CC}">
              <c16:uniqueId val="{00000005-E4C4-4157-8C73-A54B3BE9ED25}"/>
            </c:ext>
          </c:extLst>
        </c:ser>
        <c:dLbls>
          <c:showLegendKey val="0"/>
          <c:showVal val="0"/>
          <c:showCatName val="0"/>
          <c:showSerName val="0"/>
          <c:showPercent val="0"/>
          <c:showBubbleSize val="0"/>
        </c:dLbls>
        <c:gapWidth val="150"/>
        <c:overlap val="100"/>
        <c:axId val="493691248"/>
        <c:axId val="493691576"/>
      </c:barChart>
      <c:catAx>
        <c:axId val="4936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91576"/>
        <c:crosses val="autoZero"/>
        <c:auto val="1"/>
        <c:lblAlgn val="ctr"/>
        <c:lblOffset val="100"/>
        <c:noMultiLvlLbl val="0"/>
      </c:catAx>
      <c:valAx>
        <c:axId val="493691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9369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r>
              <a:rPr lang="en-US" sz="2400"/>
              <a:t>Average fiscal surplus last five years (% GDP)</a:t>
            </a:r>
          </a:p>
        </c:rich>
      </c:tx>
      <c:layout>
        <c:manualLayout>
          <c:xMode val="edge"/>
          <c:yMode val="edge"/>
          <c:x val="0.27082182053414627"/>
          <c:y val="5.8784235136940546E-2"/>
        </c:manualLayout>
      </c:layout>
      <c:overlay val="0"/>
      <c:spPr>
        <a:noFill/>
        <a:ln>
          <a:noFill/>
        </a:ln>
        <a:effectLst/>
      </c:spPr>
      <c:txPr>
        <a:bodyPr rot="0" spcFirstLastPara="1" vertOverflow="ellipsis" vert="horz" wrap="square" anchor="ctr" anchorCtr="1"/>
        <a:lstStyle/>
        <a:p>
          <a:pPr>
            <a:defRPr sz="2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1822069970629957E-2"/>
          <c:y val="6.1964559039338521E-2"/>
          <c:w val="0.9481779476336698"/>
          <c:h val="0.91300390031360634"/>
        </c:manualLayout>
      </c:layout>
      <c:barChart>
        <c:barDir val="col"/>
        <c:grouping val="clustered"/>
        <c:varyColors val="0"/>
        <c:ser>
          <c:idx val="6"/>
          <c:order val="6"/>
          <c:tx>
            <c:strRef>
              <c:f>'Fiscal balance '!$H$2</c:f>
              <c:strCache>
                <c:ptCount val="1"/>
                <c:pt idx="0">
                  <c:v>Average (in %)</c:v>
                </c:pt>
              </c:strCache>
            </c:strRef>
          </c:tx>
          <c:spPr>
            <a:noFill/>
            <a:ln>
              <a:solidFill>
                <a:schemeClr val="tx1"/>
              </a:solidFill>
            </a:ln>
            <a:effectLst/>
          </c:spPr>
          <c:invertIfNegative val="0"/>
          <c:dLbls>
            <c:dLbl>
              <c:idx val="6"/>
              <c:layout>
                <c:manualLayout>
                  <c:x val="8.6095618607527429E-4"/>
                  <c:y val="-3.871885253031002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55-4366-B9B3-C9305512088D}"/>
                </c:ext>
              </c:extLst>
            </c:dLbl>
            <c:dLbl>
              <c:idx val="9"/>
              <c:layout>
                <c:manualLayout>
                  <c:x val="-8.6095618607527429E-4"/>
                  <c:y val="-7.2882545939407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55-4366-B9B3-C9305512088D}"/>
                </c:ext>
              </c:extLst>
            </c:dLbl>
            <c:dLbl>
              <c:idx val="10"/>
              <c:layout>
                <c:manualLayout>
                  <c:x val="4.304780930376245E-3"/>
                  <c:y val="-5.69394890151620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55-4366-B9B3-C9305512088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'Fiscal balance '!$A$3:$A$16</c:f>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f>'Fiscal balance '!$H$3:$H$16</c:f>
              <c:numCache>
                <c:formatCode>0%</c:formatCode>
                <c:ptCount val="14"/>
                <c:pt idx="0">
                  <c:v>3.8910321226668598E-2</c:v>
                </c:pt>
                <c:pt idx="1">
                  <c:v>0.15673863707479702</c:v>
                </c:pt>
                <c:pt idx="2">
                  <c:v>-3.0755505072926223E-2</c:v>
                </c:pt>
                <c:pt idx="3">
                  <c:v>0.16701525132193584</c:v>
                </c:pt>
                <c:pt idx="4">
                  <c:v>3.3412795079538725E-2</c:v>
                </c:pt>
                <c:pt idx="5">
                  <c:v>0.20367639875378399</c:v>
                </c:pt>
                <c:pt idx="6">
                  <c:v>-1.1973403471868782E-2</c:v>
                </c:pt>
                <c:pt idx="7">
                  <c:v>2.3770008085824586E-2</c:v>
                </c:pt>
                <c:pt idx="8">
                  <c:v>-3.7170663792852422E-2</c:v>
                </c:pt>
                <c:pt idx="9">
                  <c:v>-5.8515558969234986E-3</c:v>
                </c:pt>
                <c:pt idx="10">
                  <c:v>-2.088252134644673E-2</c:v>
                </c:pt>
                <c:pt idx="11">
                  <c:v>9.5475851171588858E-3</c:v>
                </c:pt>
                <c:pt idx="12">
                  <c:v>0.15757542008831299</c:v>
                </c:pt>
                <c:pt idx="13">
                  <c:v>2.552914735245642E-2</c:v>
                </c:pt>
              </c:numCache>
            </c:numRef>
          </c:val>
          <c:extLst>
            <c:ext xmlns:c16="http://schemas.microsoft.com/office/drawing/2014/chart" uri="{C3380CC4-5D6E-409C-BE32-E72D297353CC}">
              <c16:uniqueId val="{00000003-8455-4366-B9B3-C9305512088D}"/>
            </c:ext>
          </c:extLst>
        </c:ser>
        <c:dLbls>
          <c:dLblPos val="outEnd"/>
          <c:showLegendKey val="0"/>
          <c:showVal val="1"/>
          <c:showCatName val="0"/>
          <c:showSerName val="0"/>
          <c:showPercent val="0"/>
          <c:showBubbleSize val="0"/>
        </c:dLbls>
        <c:gapWidth val="219"/>
        <c:overlap val="-27"/>
        <c:axId val="687929416"/>
        <c:axId val="687923512"/>
        <c:extLst>
          <c:ext xmlns:c15="http://schemas.microsoft.com/office/drawing/2012/chart" uri="{02D57815-91ED-43cb-92C2-25804820EDAC}">
            <c15:filteredBarSeries>
              <c15:ser>
                <c:idx val="0"/>
                <c:order val="0"/>
                <c:tx>
                  <c:strRef>
                    <c:extLst>
                      <c:ext uri="{02D57815-91ED-43cb-92C2-25804820EDAC}">
                        <c15:formulaRef>
                          <c15:sqref>'Fiscal balance '!$B$2</c15:sqref>
                        </c15:formulaRef>
                      </c:ext>
                    </c:extLst>
                    <c:strCache>
                      <c:ptCount val="1"/>
                      <c:pt idx="0">
                        <c:v>2015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c:ext uri="{02D57815-91ED-43cb-92C2-25804820EDAC}">
                        <c15:formulaRef>
                          <c15:sqref>'Fiscal balance '!$B$3:$B$16</c15:sqref>
                        </c15:formulaRef>
                      </c:ext>
                    </c:extLst>
                    <c:numCache>
                      <c:formatCode>0.0</c:formatCode>
                      <c:ptCount val="14"/>
                      <c:pt idx="0">
                        <c:v>-1.5544636719576279</c:v>
                      </c:pt>
                      <c:pt idx="1">
                        <c:v>10.34495574320975</c:v>
                      </c:pt>
                      <c:pt idx="2">
                        <c:v>-1.8487102490491478</c:v>
                      </c:pt>
                      <c:pt idx="3">
                        <c:v>49.006137719298245</c:v>
                      </c:pt>
                      <c:pt idx="4">
                        <c:v>2.7922527876166838</c:v>
                      </c:pt>
                      <c:pt idx="5">
                        <c:v>10.45062320230106</c:v>
                      </c:pt>
                      <c:pt idx="6">
                        <c:v>1.4748146643208036E-2</c:v>
                      </c:pt>
                      <c:pt idx="7">
                        <c:v>2.9461638745430103</c:v>
                      </c:pt>
                      <c:pt idx="8">
                        <c:v>-4.6322300650986445</c:v>
                      </c:pt>
                      <c:pt idx="9">
                        <c:v>-3.9579559510474192</c:v>
                      </c:pt>
                      <c:pt idx="10">
                        <c:v>-1.5318962687379757E-2</c:v>
                      </c:pt>
                      <c:pt idx="11">
                        <c:v>-2.872769176220308</c:v>
                      </c:pt>
                      <c:pt idx="12">
                        <c:v>25.319148936170194</c:v>
                      </c:pt>
                      <c:pt idx="13">
                        <c:v>-7.3382207299693203</c:v>
                      </c:pt>
                    </c:numCache>
                  </c:numRef>
                </c:val>
                <c:extLst>
                  <c:ext xmlns:c16="http://schemas.microsoft.com/office/drawing/2014/chart" uri="{C3380CC4-5D6E-409C-BE32-E72D297353CC}">
                    <c16:uniqueId val="{00000004-8455-4366-B9B3-C9305512088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'Fiscal balance '!$C$2</c15:sqref>
                        </c15:formulaRef>
                      </c:ext>
                    </c:extLst>
                    <c:strCache>
                      <c:ptCount val="1"/>
                      <c:pt idx="0">
                        <c:v>2016</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'!$C$3:$C$16</c15:sqref>
                        </c15:formulaRef>
                      </c:ext>
                    </c:extLst>
                    <c:numCache>
                      <c:formatCode>0.0</c:formatCode>
                      <c:ptCount val="14"/>
                      <c:pt idx="0">
                        <c:v>3.6910390968057691</c:v>
                      </c:pt>
                      <c:pt idx="1">
                        <c:v>7.2557128224894463</c:v>
                      </c:pt>
                      <c:pt idx="2">
                        <c:v>-3.7605158804785455</c:v>
                      </c:pt>
                      <c:pt idx="3">
                        <c:v>3.3750000000000093</c:v>
                      </c:pt>
                      <c:pt idx="4">
                        <c:v>3.9063516726896048</c:v>
                      </c:pt>
                      <c:pt idx="5">
                        <c:v>21.527272727272724</c:v>
                      </c:pt>
                      <c:pt idx="6">
                        <c:v>0.27240740945715591</c:v>
                      </c:pt>
                      <c:pt idx="7">
                        <c:v>2.0174833241471353</c:v>
                      </c:pt>
                      <c:pt idx="8">
                        <c:v>-4.7464486201165164</c:v>
                      </c:pt>
                      <c:pt idx="9">
                        <c:v>-0.40214202897996315</c:v>
                      </c:pt>
                      <c:pt idx="10">
                        <c:v>-4.2884224863034257</c:v>
                      </c:pt>
                      <c:pt idx="11">
                        <c:v>-0.40099999999999519</c:v>
                      </c:pt>
                      <c:pt idx="12">
                        <c:v>20.612244897959201</c:v>
                      </c:pt>
                      <c:pt idx="13">
                        <c:v>6.9683667621776522</c:v>
                      </c:pt>
                    </c:numCache>
                  </c:numRef>
                </c:val>
                <c:extLst xmlns:c15="http://schemas.microsoft.com/office/drawing/2012/chart">
                  <c:ext xmlns:c16="http://schemas.microsoft.com/office/drawing/2014/chart" uri="{C3380CC4-5D6E-409C-BE32-E72D297353CC}">
                    <c16:uniqueId val="{00000005-8455-4366-B9B3-C9305512088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'Fiscal balance '!$D$2</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'!$D$3:$D$16</c15:sqref>
                        </c15:formulaRef>
                      </c:ext>
                    </c:extLst>
                    <c:numCache>
                      <c:formatCode>0.0</c:formatCode>
                      <c:ptCount val="14"/>
                      <c:pt idx="0">
                        <c:v>12.483434746764157</c:v>
                      </c:pt>
                      <c:pt idx="1">
                        <c:v>14.240713306647052</c:v>
                      </c:pt>
                      <c:pt idx="2">
                        <c:v>-2.0138624395089124</c:v>
                      </c:pt>
                      <c:pt idx="3">
                        <c:v>11.900826446280997</c:v>
                      </c:pt>
                      <c:pt idx="4">
                        <c:v>4.4289941639985084</c:v>
                      </c:pt>
                      <c:pt idx="5">
                        <c:v>21.266345492085343</c:v>
                      </c:pt>
                      <c:pt idx="6">
                        <c:v>-4.5801516793436132</c:v>
                      </c:pt>
                      <c:pt idx="7">
                        <c:v>2.7513027306675539</c:v>
                      </c:pt>
                      <c:pt idx="8">
                        <c:v>-2.4745696805232091</c:v>
                      </c:pt>
                      <c:pt idx="9">
                        <c:v>-1.0711210604387968</c:v>
                      </c:pt>
                      <c:pt idx="10">
                        <c:v>-4.7642846214200789</c:v>
                      </c:pt>
                      <c:pt idx="11">
                        <c:v>2.099999999999997</c:v>
                      </c:pt>
                      <c:pt idx="12">
                        <c:v>8.424811320754733</c:v>
                      </c:pt>
                      <c:pt idx="13">
                        <c:v>-1.199532074994464</c:v>
                      </c:pt>
                    </c:numCache>
                  </c:numRef>
                </c:val>
                <c:extLst xmlns:c15="http://schemas.microsoft.com/office/drawing/2012/chart">
                  <c:ext xmlns:c16="http://schemas.microsoft.com/office/drawing/2014/chart" uri="{C3380CC4-5D6E-409C-BE32-E72D297353CC}">
                    <c16:uniqueId val="{00000006-8455-4366-B9B3-C9305512088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'Fiscal balance '!$E$2</c15:sqref>
                        </c15:formulaRef>
                      </c:ext>
                    </c:extLst>
                    <c:strCache>
                      <c:ptCount val="1"/>
                      <c:pt idx="0">
                        <c:v>2018</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'!$E$3:$E$16</c15:sqref>
                        </c15:formulaRef>
                      </c:ext>
                    </c:extLst>
                    <c:numCache>
                      <c:formatCode>0.0</c:formatCode>
                      <c:ptCount val="14"/>
                      <c:pt idx="0">
                        <c:v>1.3954635432868512</c:v>
                      </c:pt>
                      <c:pt idx="1">
                        <c:v>24.225005284831241</c:v>
                      </c:pt>
                      <c:pt idx="2">
                        <c:v>-4.3063199089566639</c:v>
                      </c:pt>
                      <c:pt idx="3">
                        <c:v>27.248421343873524</c:v>
                      </c:pt>
                      <c:pt idx="4">
                        <c:v>2.5307537623073535</c:v>
                      </c:pt>
                      <c:pt idx="5">
                        <c:v>32.562499999999979</c:v>
                      </c:pt>
                      <c:pt idx="6">
                        <c:v>-0.46628156133370674</c:v>
                      </c:pt>
                      <c:pt idx="7">
                        <c:v>3.7304693445985504</c:v>
                      </c:pt>
                      <c:pt idx="8">
                        <c:v>-2.5887007733762517</c:v>
                      </c:pt>
                      <c:pt idx="9">
                        <c:v>-0.20893694667594467</c:v>
                      </c:pt>
                      <c:pt idx="10">
                        <c:v>0.66720633286158471</c:v>
                      </c:pt>
                      <c:pt idx="11">
                        <c:v>3.2475617347997523</c:v>
                      </c:pt>
                      <c:pt idx="12">
                        <c:v>34.249224561403516</c:v>
                      </c:pt>
                      <c:pt idx="13">
                        <c:v>7.5798235214313783</c:v>
                      </c:pt>
                    </c:numCache>
                  </c:numRef>
                </c:val>
                <c:extLst xmlns:c15="http://schemas.microsoft.com/office/drawing/2012/chart">
                  <c:ext xmlns:c16="http://schemas.microsoft.com/office/drawing/2014/chart" uri="{C3380CC4-5D6E-409C-BE32-E72D297353CC}">
                    <c16:uniqueId val="{00000007-8455-4366-B9B3-C9305512088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'Fiscal balance '!$F$2</c15:sqref>
                        </c15:formulaRef>
                      </c:ext>
                    </c:extLst>
                    <c:strCache>
                      <c:ptCount val="1"/>
                      <c:pt idx="0">
                        <c:v>2019</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'!$F$3:$F$16</c15:sqref>
                        </c15:formulaRef>
                      </c:ext>
                    </c:extLst>
                    <c:numCache>
                      <c:formatCode>0.0</c:formatCode>
                      <c:ptCount val="14"/>
                      <c:pt idx="0">
                        <c:v>3.4396868984351521</c:v>
                      </c:pt>
                      <c:pt idx="1">
                        <c:v>22.302931380221004</c:v>
                      </c:pt>
                      <c:pt idx="2">
                        <c:v>-3.4483440584698406</c:v>
                      </c:pt>
                      <c:pt idx="3">
                        <c:v>-8.0227598484848546</c:v>
                      </c:pt>
                      <c:pt idx="4">
                        <c:v>3.0480451531572106</c:v>
                      </c:pt>
                      <c:pt idx="5">
                        <c:v>16.031457955232892</c:v>
                      </c:pt>
                      <c:pt idx="6">
                        <c:v>-1.227424051357435</c:v>
                      </c:pt>
                      <c:pt idx="7">
                        <c:v>0.43958476895604448</c:v>
                      </c:pt>
                      <c:pt idx="8">
                        <c:v>-4.1433827573115911</c:v>
                      </c:pt>
                      <c:pt idx="9">
                        <c:v>2.7143780386803744</c:v>
                      </c:pt>
                      <c:pt idx="10">
                        <c:v>-2.0404409356740665</c:v>
                      </c:pt>
                      <c:pt idx="11">
                        <c:v>2.6999999999999966</c:v>
                      </c:pt>
                      <c:pt idx="12">
                        <c:v>-9.8177196721311528</c:v>
                      </c:pt>
                      <c:pt idx="13">
                        <c:v>6.754136197582965</c:v>
                      </c:pt>
                    </c:numCache>
                  </c:numRef>
                </c:val>
                <c:extLst xmlns:c15="http://schemas.microsoft.com/office/drawing/2012/chart">
                  <c:ext xmlns:c16="http://schemas.microsoft.com/office/drawing/2014/chart" uri="{C3380CC4-5D6E-409C-BE32-E72D297353CC}">
                    <c16:uniqueId val="{00000008-8455-4366-B9B3-C9305512088D}"/>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'Fiscal balance '!$G$2</c15:sqref>
                        </c15:formulaRef>
                      </c:ext>
                    </c:extLst>
                    <c:strCache>
                      <c:ptCount val="1"/>
                      <c:pt idx="0">
                        <c:v>Average</c:v>
                      </c:pt>
                    </c:strCache>
                  </c:strRef>
                </c:tx>
                <c:spPr>
                  <a:solidFill>
                    <a:schemeClr val="accent6">
                      <a:lumMod val="20000"/>
                      <a:lumOff val="80000"/>
                    </a:schemeClr>
                  </a:solidFill>
                  <a:ln>
                    <a:noFill/>
                  </a:ln>
                  <a:effectLst/>
                </c:spPr>
                <c:invertIfNegative val="0"/>
                <c:dLbls>
                  <c:dLbl>
                    <c:idx val="9"/>
                    <c:layout>
                      <c:manualLayout>
                        <c:x val="0"/>
                        <c:y val="-5.345728248870444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9-8455-4366-B9B3-C9305512088D}"/>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'Fiscal balance '!$A$3:$A$16</c15:sqref>
                        </c15:formulaRef>
                      </c:ext>
                    </c:extLst>
                    <c:strCache>
                      <c:ptCount val="14"/>
                      <c:pt idx="0">
                        <c:v>Cook Islands</c:v>
                      </c:pt>
                      <c:pt idx="1">
                        <c:v>FSM</c:v>
                      </c:pt>
                      <c:pt idx="2">
                        <c:v>Fiji</c:v>
                      </c:pt>
                      <c:pt idx="3">
                        <c:v>Kiribati</c:v>
                      </c:pt>
                      <c:pt idx="4">
                        <c:v>Marshall Islands</c:v>
                      </c:pt>
                      <c:pt idx="5">
                        <c:v>Nauru</c:v>
                      </c:pt>
                      <c:pt idx="6">
                        <c:v>Niue</c:v>
                      </c:pt>
                      <c:pt idx="7">
                        <c:v>Palau</c:v>
                      </c:pt>
                      <c:pt idx="8">
                        <c:v>PNG</c:v>
                      </c:pt>
                      <c:pt idx="9">
                        <c:v>Samoa</c:v>
                      </c:pt>
                      <c:pt idx="10">
                        <c:v>Solomon Islands</c:v>
                      </c:pt>
                      <c:pt idx="11">
                        <c:v>Tonga</c:v>
                      </c:pt>
                      <c:pt idx="12">
                        <c:v>Tuvalu</c:v>
                      </c:pt>
                      <c:pt idx="13">
                        <c:v>Vanuatu</c:v>
                      </c:pt>
                    </c:strCache>
                  </c:strRef>
                </c:cat>
                <c:val>
                  <c:numRef>
                    <c:extLst xmlns:c15="http://schemas.microsoft.com/office/drawing/2012/chart">
                      <c:ext xmlns:c15="http://schemas.microsoft.com/office/drawing/2012/chart" uri="{02D57815-91ED-43cb-92C2-25804820EDAC}">
                        <c15:formulaRef>
                          <c15:sqref>'Fiscal balance '!$G$3:$G$16</c15:sqref>
                        </c15:formulaRef>
                      </c:ext>
                    </c:extLst>
                    <c:numCache>
                      <c:formatCode>0.0</c:formatCode>
                      <c:ptCount val="14"/>
                      <c:pt idx="0">
                        <c:v>3.8910321226668598</c:v>
                      </c:pt>
                      <c:pt idx="1">
                        <c:v>15.6738637074797</c:v>
                      </c:pt>
                      <c:pt idx="2">
                        <c:v>-3.0755505072926224</c:v>
                      </c:pt>
                      <c:pt idx="3">
                        <c:v>16.701525132193584</c:v>
                      </c:pt>
                      <c:pt idx="4">
                        <c:v>3.3412795079538724</c:v>
                      </c:pt>
                      <c:pt idx="5">
                        <c:v>20.367639875378398</c:v>
                      </c:pt>
                      <c:pt idx="6">
                        <c:v>-1.1973403471868782</c:v>
                      </c:pt>
                      <c:pt idx="7">
                        <c:v>2.3770008085824585</c:v>
                      </c:pt>
                      <c:pt idx="8">
                        <c:v>-3.7170663792852423</c:v>
                      </c:pt>
                      <c:pt idx="9">
                        <c:v>-0.58515558969234982</c:v>
                      </c:pt>
                      <c:pt idx="10">
                        <c:v>-2.088252134644673</c:v>
                      </c:pt>
                      <c:pt idx="11">
                        <c:v>0.95475851171588855</c:v>
                      </c:pt>
                      <c:pt idx="12">
                        <c:v>15.757542008831299</c:v>
                      </c:pt>
                      <c:pt idx="13">
                        <c:v>2.5529147352456421</c:v>
                      </c:pt>
                    </c:numCache>
                  </c:numRef>
                </c:val>
                <c:extLst xmlns:c15="http://schemas.microsoft.com/office/drawing/2012/chart">
                  <c:ext xmlns:c16="http://schemas.microsoft.com/office/drawing/2014/chart" uri="{C3380CC4-5D6E-409C-BE32-E72D297353CC}">
                    <c16:uniqueId val="{0000000A-8455-4366-B9B3-C9305512088D}"/>
                  </c:ext>
                </c:extLst>
              </c15:ser>
            </c15:filteredBarSeries>
          </c:ext>
        </c:extLst>
      </c:barChart>
      <c:catAx>
        <c:axId val="68792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87923512"/>
        <c:crosses val="autoZero"/>
        <c:auto val="1"/>
        <c:lblAlgn val="ctr"/>
        <c:lblOffset val="100"/>
        <c:noMultiLvlLbl val="0"/>
      </c:catAx>
      <c:valAx>
        <c:axId val="687923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87929416"/>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59745710014802E-2"/>
          <c:y val="1.5883612601577571E-2"/>
          <c:w val="0.80284449733346663"/>
          <c:h val="0.9284820291772472"/>
        </c:manualLayout>
      </c:layout>
      <c:barChart>
        <c:barDir val="col"/>
        <c:grouping val="clustered"/>
        <c:varyColors val="0"/>
        <c:ser>
          <c:idx val="0"/>
          <c:order val="0"/>
          <c:tx>
            <c:strRef>
              <c:f>'Fiscal balance '!$A$28</c:f>
              <c:strCache>
                <c:ptCount val="1"/>
                <c:pt idx="0">
                  <c:v>Pre-COVID projection</c:v>
                </c:pt>
              </c:strCache>
            </c:strRef>
          </c:tx>
          <c:spPr>
            <a:solidFill>
              <a:schemeClr val="accent1">
                <a:lumMod val="40000"/>
                <a:lumOff val="60000"/>
              </a:schemeClr>
            </a:solidFill>
            <a:ln>
              <a:noFill/>
            </a:ln>
            <a:effectLst/>
          </c:spPr>
          <c:invertIfNegative val="0"/>
          <c:cat>
            <c:strRef>
              <c:f>'Fiscal balance '!$B$27:$H$27</c:f>
              <c:strCache>
                <c:ptCount val="7"/>
                <c:pt idx="0">
                  <c:v>PNG</c:v>
                </c:pt>
                <c:pt idx="1">
                  <c:v>Fiji</c:v>
                </c:pt>
                <c:pt idx="2">
                  <c:v>Vanuatu</c:v>
                </c:pt>
                <c:pt idx="3">
                  <c:v>Samoa</c:v>
                </c:pt>
                <c:pt idx="4">
                  <c:v>Solomon Islands</c:v>
                </c:pt>
                <c:pt idx="5">
                  <c:v>Tonga</c:v>
                </c:pt>
                <c:pt idx="6">
                  <c:v>Timor Leste</c:v>
                </c:pt>
              </c:strCache>
            </c:strRef>
          </c:cat>
          <c:val>
            <c:numRef>
              <c:f>'Fiscal balance '!$B$28:$H$28</c:f>
              <c:numCache>
                <c:formatCode>0.00%</c:formatCode>
                <c:ptCount val="7"/>
                <c:pt idx="0">
                  <c:v>-0.05</c:v>
                </c:pt>
                <c:pt idx="1">
                  <c:v>-2.7E-2</c:v>
                </c:pt>
                <c:pt idx="2">
                  <c:v>6.7000000000000004E-2</c:v>
                </c:pt>
                <c:pt idx="3">
                  <c:v>-1.2E-2</c:v>
                </c:pt>
                <c:pt idx="4">
                  <c:v>0</c:v>
                </c:pt>
                <c:pt idx="5">
                  <c:v>8.9999999999999993E-3</c:v>
                </c:pt>
                <c:pt idx="6" formatCode="0.0%">
                  <c:v>-0.38100000000000001</c:v>
                </c:pt>
              </c:numCache>
            </c:numRef>
          </c:val>
          <c:extLst>
            <c:ext xmlns:c16="http://schemas.microsoft.com/office/drawing/2014/chart" uri="{C3380CC4-5D6E-409C-BE32-E72D297353CC}">
              <c16:uniqueId val="{00000000-1AB9-4105-B333-08DE2950857E}"/>
            </c:ext>
          </c:extLst>
        </c:ser>
        <c:ser>
          <c:idx val="1"/>
          <c:order val="1"/>
          <c:tx>
            <c:strRef>
              <c:f>'Fiscal balance '!$A$29</c:f>
              <c:strCache>
                <c:ptCount val="1"/>
                <c:pt idx="0">
                  <c:v>Post-COVID projection</c:v>
                </c:pt>
              </c:strCache>
            </c:strRef>
          </c:tx>
          <c:spPr>
            <a:solidFill>
              <a:schemeClr val="accent2"/>
            </a:solidFill>
            <a:ln>
              <a:noFill/>
            </a:ln>
            <a:effectLst/>
          </c:spPr>
          <c:invertIfNegative val="0"/>
          <c:cat>
            <c:strRef>
              <c:f>'Fiscal balance '!$B$27:$H$27</c:f>
              <c:strCache>
                <c:ptCount val="7"/>
                <c:pt idx="0">
                  <c:v>PNG</c:v>
                </c:pt>
                <c:pt idx="1">
                  <c:v>Fiji</c:v>
                </c:pt>
                <c:pt idx="2">
                  <c:v>Vanuatu</c:v>
                </c:pt>
                <c:pt idx="3">
                  <c:v>Samoa</c:v>
                </c:pt>
                <c:pt idx="4">
                  <c:v>Solomon Islands</c:v>
                </c:pt>
                <c:pt idx="5">
                  <c:v>Tonga</c:v>
                </c:pt>
                <c:pt idx="6">
                  <c:v>Timor Leste</c:v>
                </c:pt>
              </c:strCache>
            </c:strRef>
          </c:cat>
          <c:val>
            <c:numRef>
              <c:f>'Fiscal balance '!$B$29:$H$29</c:f>
              <c:numCache>
                <c:formatCode>0.00%</c:formatCode>
                <c:ptCount val="7"/>
                <c:pt idx="0">
                  <c:v>-5.4196228733597626E-2</c:v>
                </c:pt>
                <c:pt idx="1">
                  <c:v>-0.09</c:v>
                </c:pt>
                <c:pt idx="2">
                  <c:v>-7.4279379157427938E-2</c:v>
                </c:pt>
                <c:pt idx="3">
                  <c:v>-1.6E-2</c:v>
                </c:pt>
                <c:pt idx="4">
                  <c:v>-0.01</c:v>
                </c:pt>
                <c:pt idx="5">
                  <c:v>-1.6E-2</c:v>
                </c:pt>
                <c:pt idx="6">
                  <c:v>-0.308</c:v>
                </c:pt>
              </c:numCache>
            </c:numRef>
          </c:val>
          <c:extLst>
            <c:ext xmlns:c16="http://schemas.microsoft.com/office/drawing/2014/chart" uri="{C3380CC4-5D6E-409C-BE32-E72D297353CC}">
              <c16:uniqueId val="{00000001-1AB9-4105-B333-08DE2950857E}"/>
            </c:ext>
          </c:extLst>
        </c:ser>
        <c:dLbls>
          <c:showLegendKey val="0"/>
          <c:showVal val="0"/>
          <c:showCatName val="0"/>
          <c:showSerName val="0"/>
          <c:showPercent val="0"/>
          <c:showBubbleSize val="0"/>
        </c:dLbls>
        <c:gapWidth val="219"/>
        <c:overlap val="-27"/>
        <c:axId val="666716928"/>
        <c:axId val="666719552"/>
      </c:barChart>
      <c:catAx>
        <c:axId val="66671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66719552"/>
        <c:crosses val="autoZero"/>
        <c:auto val="1"/>
        <c:lblAlgn val="ctr"/>
        <c:lblOffset val="100"/>
        <c:noMultiLvlLbl val="0"/>
      </c:catAx>
      <c:valAx>
        <c:axId val="666719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1"/>
                  <a:t>Projected</a:t>
                </a:r>
                <a:r>
                  <a:rPr lang="en-GB" sz="1000" b="1" baseline="0"/>
                  <a:t> fiscal balance in 2020 (as % of GDP)</a:t>
                </a:r>
                <a:endParaRPr lang="en-GB" sz="1000"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66716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'Real GDP growth'!$A$61</c:f>
              <c:strCache>
                <c:ptCount val="1"/>
                <c:pt idx="0">
                  <c:v>Real GDP growth</c:v>
                </c:pt>
              </c:strCache>
            </c:strRef>
          </c:tx>
          <c:spPr>
            <a:solidFill>
              <a:schemeClr val="accent1"/>
            </a:solidFill>
            <a:ln>
              <a:noFill/>
            </a:ln>
            <a:effectLst/>
          </c:spPr>
          <c:invertIfNegative val="0"/>
          <c:cat>
            <c:strRef>
              <c:f>'Real GDP growth'!$B$60:$M$60</c:f>
              <c:strCache>
                <c:ptCount val="12"/>
                <c:pt idx="0">
                  <c:v>PNG</c:v>
                </c:pt>
                <c:pt idx="1">
                  <c:v>Fiji</c:v>
                </c:pt>
                <c:pt idx="2">
                  <c:v>TL</c:v>
                </c:pt>
                <c:pt idx="3">
                  <c:v>FSM</c:v>
                </c:pt>
                <c:pt idx="4">
                  <c:v>Kiribati</c:v>
                </c:pt>
                <c:pt idx="5">
                  <c:v>Marshall Islands</c:v>
                </c:pt>
                <c:pt idx="6">
                  <c:v>Nauru</c:v>
                </c:pt>
                <c:pt idx="7">
                  <c:v>Palau</c:v>
                </c:pt>
                <c:pt idx="8">
                  <c:v>Tonga</c:v>
                </c:pt>
                <c:pt idx="9">
                  <c:v>Tuvalu</c:v>
                </c:pt>
                <c:pt idx="10">
                  <c:v>Vanuatu</c:v>
                </c:pt>
                <c:pt idx="11">
                  <c:v>Samoa</c:v>
                </c:pt>
              </c:strCache>
            </c:strRef>
          </c:cat>
          <c:val>
            <c:numRef>
              <c:f>'Real GDP growth'!$B$61:$M$61</c:f>
              <c:numCache>
                <c:formatCode>0.00%</c:formatCode>
                <c:ptCount val="12"/>
                <c:pt idx="0">
                  <c:v>1.0400000000000001E-2</c:v>
                </c:pt>
                <c:pt idx="1">
                  <c:v>3.32E-2</c:v>
                </c:pt>
                <c:pt idx="2">
                  <c:v>-7.7426129873816142E-3</c:v>
                </c:pt>
                <c:pt idx="3">
                  <c:v>-2.1245095035144157E-2</c:v>
                </c:pt>
                <c:pt idx="4">
                  <c:v>1.4059853083467156E-2</c:v>
                </c:pt>
                <c:pt idx="5">
                  <c:v>6.0766126452898028E-3</c:v>
                </c:pt>
                <c:pt idx="6">
                  <c:v>-3.599699986226812E-2</c:v>
                </c:pt>
                <c:pt idx="7">
                  <c:v>3.8793636533704934E-3</c:v>
                </c:pt>
                <c:pt idx="8">
                  <c:v>1.2308864696578769E-3</c:v>
                </c:pt>
                <c:pt idx="9">
                  <c:v>1.1014189902819837E-2</c:v>
                </c:pt>
                <c:pt idx="10">
                  <c:v>-1.8953689568317112E-3</c:v>
                </c:pt>
                <c:pt idx="11">
                  <c:v>9.9975091621805848E-3</c:v>
                </c:pt>
              </c:numCache>
            </c:numRef>
          </c:val>
          <c:extLst>
            <c:ext xmlns:c16="http://schemas.microsoft.com/office/drawing/2014/chart" uri="{C3380CC4-5D6E-409C-BE32-E72D297353CC}">
              <c16:uniqueId val="{00000000-E276-4F73-B6DB-42F82B2BC729}"/>
            </c:ext>
          </c:extLst>
        </c:ser>
        <c:dLbls>
          <c:showLegendKey val="0"/>
          <c:showVal val="0"/>
          <c:showCatName val="0"/>
          <c:showSerName val="0"/>
          <c:showPercent val="0"/>
          <c:showBubbleSize val="0"/>
        </c:dLbls>
        <c:gapWidth val="219"/>
        <c:overlap val="-27"/>
        <c:axId val="493677472"/>
        <c:axId val="493682720"/>
      </c:barChart>
      <c:catAx>
        <c:axId val="49367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82720"/>
        <c:crosses val="autoZero"/>
        <c:auto val="1"/>
        <c:lblAlgn val="ctr"/>
        <c:lblOffset val="100"/>
        <c:noMultiLvlLbl val="0"/>
      </c:catAx>
      <c:valAx>
        <c:axId val="4936827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3677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'GDP growth (pre &amp; post COVID)'!$A$14</c:f>
              <c:strCache>
                <c:ptCount val="1"/>
                <c:pt idx="0">
                  <c:v>Pre-COVID projection</c:v>
                </c:pt>
              </c:strCache>
            </c:strRef>
          </c:tx>
          <c:spPr>
            <a:solidFill>
              <a:schemeClr val="accent1"/>
            </a:solidFill>
            <a:ln>
              <a:noFill/>
            </a:ln>
            <a:effectLst/>
          </c:spPr>
          <c:invertIfNegative val="0"/>
          <c:cat>
            <c:strRef>
              <c:f>'GDP growth (pre &amp; post COVID)'!$B$13:$O$13</c:f>
              <c:strCache>
                <c:ptCount val="14"/>
                <c:pt idx="0">
                  <c:v>Kiribati</c:v>
                </c:pt>
                <c:pt idx="1">
                  <c:v>PNG</c:v>
                </c:pt>
                <c:pt idx="2">
                  <c:v>Nauru</c:v>
                </c:pt>
                <c:pt idx="3">
                  <c:v>FSM</c:v>
                </c:pt>
                <c:pt idx="4">
                  <c:v>Tonga</c:v>
                </c:pt>
                <c:pt idx="5">
                  <c:v>Samoa</c:v>
                </c:pt>
                <c:pt idx="6">
                  <c:v>Timor Leste</c:v>
                </c:pt>
                <c:pt idx="7">
                  <c:v>Marhsall Islands</c:v>
                </c:pt>
                <c:pt idx="8">
                  <c:v>Solomon Islands</c:v>
                </c:pt>
                <c:pt idx="9">
                  <c:v>Cook Islands</c:v>
                </c:pt>
                <c:pt idx="10">
                  <c:v>Palau</c:v>
                </c:pt>
                <c:pt idx="11">
                  <c:v>Vanuatu</c:v>
                </c:pt>
                <c:pt idx="12">
                  <c:v>Tuvalu</c:v>
                </c:pt>
                <c:pt idx="13">
                  <c:v>Fiji</c:v>
                </c:pt>
              </c:strCache>
            </c:strRef>
          </c:cat>
          <c:val>
            <c:numRef>
              <c:f>'GDP growth (pre &amp; post COVID)'!$B$14:$O$14</c:f>
              <c:numCache>
                <c:formatCode>General</c:formatCode>
                <c:ptCount val="14"/>
                <c:pt idx="0">
                  <c:v>2.3E-2</c:v>
                </c:pt>
                <c:pt idx="1">
                  <c:v>0.02</c:v>
                </c:pt>
                <c:pt idx="2">
                  <c:v>1E-3</c:v>
                </c:pt>
                <c:pt idx="3">
                  <c:v>2.5000000000000001E-2</c:v>
                </c:pt>
                <c:pt idx="4">
                  <c:v>0.03</c:v>
                </c:pt>
                <c:pt idx="5">
                  <c:v>4.9000000000000002E-2</c:v>
                </c:pt>
                <c:pt idx="6">
                  <c:v>7.1999999999999995E-2</c:v>
                </c:pt>
                <c:pt idx="7">
                  <c:v>2.1999999999999999E-2</c:v>
                </c:pt>
                <c:pt idx="8">
                  <c:v>2.3E-2</c:v>
                </c:pt>
                <c:pt idx="9">
                  <c:v>4.4999999999999998E-2</c:v>
                </c:pt>
                <c:pt idx="10">
                  <c:v>0.01</c:v>
                </c:pt>
                <c:pt idx="11">
                  <c:v>3.7999999999999999E-2</c:v>
                </c:pt>
                <c:pt idx="12">
                  <c:v>4.3999999999999997E-2</c:v>
                </c:pt>
                <c:pt idx="13">
                  <c:v>0.03</c:v>
                </c:pt>
              </c:numCache>
            </c:numRef>
          </c:val>
          <c:extLst>
            <c:ext xmlns:c16="http://schemas.microsoft.com/office/drawing/2014/chart" uri="{C3380CC4-5D6E-409C-BE32-E72D297353CC}">
              <c16:uniqueId val="{00000000-9179-4E79-AFBC-D6B6917183F9}"/>
            </c:ext>
          </c:extLst>
        </c:ser>
        <c:ser>
          <c:idx val="1"/>
          <c:order val="1"/>
          <c:tx>
            <c:strRef>
              <c:f>'GDP growth (pre &amp; post COVID)'!$A$15</c:f>
              <c:strCache>
                <c:ptCount val="1"/>
                <c:pt idx="0">
                  <c:v>Post-COVID projection</c:v>
                </c:pt>
              </c:strCache>
            </c:strRef>
          </c:tx>
          <c:spPr>
            <a:solidFill>
              <a:schemeClr val="accent2"/>
            </a:solidFill>
            <a:ln>
              <a:noFill/>
            </a:ln>
            <a:effectLst/>
          </c:spPr>
          <c:invertIfNegative val="0"/>
          <c:cat>
            <c:strRef>
              <c:f>'GDP growth (pre &amp; post COVID)'!$B$13:$O$13</c:f>
              <c:strCache>
                <c:ptCount val="14"/>
                <c:pt idx="0">
                  <c:v>Kiribati</c:v>
                </c:pt>
                <c:pt idx="1">
                  <c:v>PNG</c:v>
                </c:pt>
                <c:pt idx="2">
                  <c:v>Nauru</c:v>
                </c:pt>
                <c:pt idx="3">
                  <c:v>FSM</c:v>
                </c:pt>
                <c:pt idx="4">
                  <c:v>Tonga</c:v>
                </c:pt>
                <c:pt idx="5">
                  <c:v>Samoa</c:v>
                </c:pt>
                <c:pt idx="6">
                  <c:v>Timor Leste</c:v>
                </c:pt>
                <c:pt idx="7">
                  <c:v>Marhsall Islands</c:v>
                </c:pt>
                <c:pt idx="8">
                  <c:v>Solomon Islands</c:v>
                </c:pt>
                <c:pt idx="9">
                  <c:v>Cook Islands</c:v>
                </c:pt>
                <c:pt idx="10">
                  <c:v>Palau</c:v>
                </c:pt>
                <c:pt idx="11">
                  <c:v>Vanuatu</c:v>
                </c:pt>
                <c:pt idx="12">
                  <c:v>Tuvalu</c:v>
                </c:pt>
                <c:pt idx="13">
                  <c:v>Fiji</c:v>
                </c:pt>
              </c:strCache>
            </c:strRef>
          </c:cat>
          <c:val>
            <c:numRef>
              <c:f>'GDP growth (pre &amp; post COVID)'!$B$15:$O$15</c:f>
              <c:numCache>
                <c:formatCode>General</c:formatCode>
                <c:ptCount val="14"/>
                <c:pt idx="0">
                  <c:v>6.0000000000000001E-3</c:v>
                </c:pt>
                <c:pt idx="1">
                  <c:v>-1.4999999999999999E-2</c:v>
                </c:pt>
                <c:pt idx="2">
                  <c:v>-1.7000000000000001E-2</c:v>
                </c:pt>
                <c:pt idx="3">
                  <c:v>-0.02</c:v>
                </c:pt>
                <c:pt idx="4">
                  <c:v>-0.03</c:v>
                </c:pt>
                <c:pt idx="5">
                  <c:v>-3.3000000000000002E-2</c:v>
                </c:pt>
                <c:pt idx="6">
                  <c:v>-3.6999999999999998E-2</c:v>
                </c:pt>
                <c:pt idx="7">
                  <c:v>-5.5E-2</c:v>
                </c:pt>
                <c:pt idx="8">
                  <c:v>-0.06</c:v>
                </c:pt>
                <c:pt idx="9">
                  <c:v>-0.09</c:v>
                </c:pt>
                <c:pt idx="10">
                  <c:v>-9.5000000000000001E-2</c:v>
                </c:pt>
                <c:pt idx="11">
                  <c:v>-9.8000000000000004E-2</c:v>
                </c:pt>
                <c:pt idx="12" formatCode="0.00%">
                  <c:v>0.02</c:v>
                </c:pt>
                <c:pt idx="13">
                  <c:v>-0.15</c:v>
                </c:pt>
              </c:numCache>
            </c:numRef>
          </c:val>
          <c:extLst>
            <c:ext xmlns:c16="http://schemas.microsoft.com/office/drawing/2014/chart" uri="{C3380CC4-5D6E-409C-BE32-E72D297353CC}">
              <c16:uniqueId val="{00000001-9179-4E79-AFBC-D6B6917183F9}"/>
            </c:ext>
          </c:extLst>
        </c:ser>
        <c:dLbls>
          <c:showLegendKey val="0"/>
          <c:showVal val="0"/>
          <c:showCatName val="0"/>
          <c:showSerName val="0"/>
          <c:showPercent val="0"/>
          <c:showBubbleSize val="0"/>
        </c:dLbls>
        <c:gapWidth val="219"/>
        <c:overlap val="-27"/>
        <c:axId val="473450824"/>
        <c:axId val="473451152"/>
      </c:barChart>
      <c:catAx>
        <c:axId val="473450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473451152"/>
        <c:crosses val="autoZero"/>
        <c:auto val="1"/>
        <c:lblAlgn val="ctr"/>
        <c:lblOffset val="100"/>
        <c:noMultiLvlLbl val="0"/>
      </c:catAx>
      <c:valAx>
        <c:axId val="473451152"/>
        <c:scaling>
          <c:orientation val="minMax"/>
          <c:max val="0.1"/>
          <c:min val="-0.150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US" sz="1400" b="1"/>
                  <a:t>2020 GDP growth (%)</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73450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'GDP growth (pre &amp; post COVID)'!$C$25</c:f>
              <c:strCache>
                <c:ptCount val="1"/>
                <c:pt idx="0">
                  <c:v>Pre-COVID projection</c:v>
                </c:pt>
              </c:strCache>
            </c:strRef>
          </c:tx>
          <c:spPr>
            <a:noFill/>
            <a:ln w="6350">
              <a:solidFill>
                <a:srgbClr val="0070C0"/>
              </a:solidFill>
            </a:ln>
            <a:effectLst/>
          </c:spPr>
          <c:invertIfNegative val="0"/>
          <c:cat>
            <c:strRef>
              <c:f>'GDP growth (pre &amp; post COVID)'!$B$26:$B$39</c:f>
              <c:strCache>
                <c:ptCount val="14"/>
                <c:pt idx="0">
                  <c:v>Tuvalu</c:v>
                </c:pt>
                <c:pt idx="1">
                  <c:v>Kiribati</c:v>
                </c:pt>
                <c:pt idx="2">
                  <c:v>PNG</c:v>
                </c:pt>
                <c:pt idx="3">
                  <c:v>Nauru</c:v>
                </c:pt>
                <c:pt idx="4">
                  <c:v>FSM</c:v>
                </c:pt>
                <c:pt idx="5">
                  <c:v>Tonga</c:v>
                </c:pt>
                <c:pt idx="6">
                  <c:v>Samoa</c:v>
                </c:pt>
                <c:pt idx="7">
                  <c:v>TL</c:v>
                </c:pt>
                <c:pt idx="8">
                  <c:v>Marhsall Islands</c:v>
                </c:pt>
                <c:pt idx="9">
                  <c:v>Solomon Islands</c:v>
                </c:pt>
                <c:pt idx="10">
                  <c:v>Cook Islands</c:v>
                </c:pt>
                <c:pt idx="11">
                  <c:v>Palau</c:v>
                </c:pt>
                <c:pt idx="12">
                  <c:v>Vanuatu</c:v>
                </c:pt>
                <c:pt idx="13">
                  <c:v>Fiji</c:v>
                </c:pt>
              </c:strCache>
            </c:strRef>
          </c:cat>
          <c:val>
            <c:numRef>
              <c:f>'GDP growth (pre &amp; post COVID)'!$C$26:$C$39</c:f>
              <c:numCache>
                <c:formatCode>General</c:formatCode>
                <c:ptCount val="14"/>
                <c:pt idx="0">
                  <c:v>4.3999999999999997E-2</c:v>
                </c:pt>
                <c:pt idx="1">
                  <c:v>2.3E-2</c:v>
                </c:pt>
                <c:pt idx="2">
                  <c:v>0.02</c:v>
                </c:pt>
                <c:pt idx="3">
                  <c:v>1E-3</c:v>
                </c:pt>
                <c:pt idx="4">
                  <c:v>2.5000000000000001E-2</c:v>
                </c:pt>
                <c:pt idx="5">
                  <c:v>0.03</c:v>
                </c:pt>
                <c:pt idx="6">
                  <c:v>4.9000000000000002E-2</c:v>
                </c:pt>
                <c:pt idx="7">
                  <c:v>7.1999999999999995E-2</c:v>
                </c:pt>
                <c:pt idx="8">
                  <c:v>2.1999999999999999E-2</c:v>
                </c:pt>
                <c:pt idx="9">
                  <c:v>2.3E-2</c:v>
                </c:pt>
                <c:pt idx="10">
                  <c:v>4.4999999999999998E-2</c:v>
                </c:pt>
                <c:pt idx="11">
                  <c:v>0.01</c:v>
                </c:pt>
                <c:pt idx="12">
                  <c:v>3.7999999999999999E-2</c:v>
                </c:pt>
                <c:pt idx="13">
                  <c:v>0.03</c:v>
                </c:pt>
              </c:numCache>
            </c:numRef>
          </c:val>
          <c:extLst>
            <c:ext xmlns:c16="http://schemas.microsoft.com/office/drawing/2014/chart" uri="{C3380CC4-5D6E-409C-BE32-E72D297353CC}">
              <c16:uniqueId val="{00000000-8FFC-4223-A483-AA06ECC12C21}"/>
            </c:ext>
          </c:extLst>
        </c:ser>
        <c:ser>
          <c:idx val="1"/>
          <c:order val="1"/>
          <c:tx>
            <c:strRef>
              <c:f>'GDP growth (pre &amp; post COVID)'!$D$25</c:f>
              <c:strCache>
                <c:ptCount val="1"/>
                <c:pt idx="0">
                  <c:v>Post-COVID projection</c:v>
                </c:pt>
              </c:strCache>
            </c:strRef>
          </c:tx>
          <c:spPr>
            <a:solidFill>
              <a:srgbClr val="0070C0"/>
            </a:solidFill>
            <a:ln>
              <a:noFill/>
            </a:ln>
            <a:effectLst/>
          </c:spPr>
          <c:invertIfNegative val="0"/>
          <c:cat>
            <c:strRef>
              <c:f>'GDP growth (pre &amp; post COVID)'!$B$26:$B$39</c:f>
              <c:strCache>
                <c:ptCount val="14"/>
                <c:pt idx="0">
                  <c:v>Tuvalu</c:v>
                </c:pt>
                <c:pt idx="1">
                  <c:v>Kiribati</c:v>
                </c:pt>
                <c:pt idx="2">
                  <c:v>PNG</c:v>
                </c:pt>
                <c:pt idx="3">
                  <c:v>Nauru</c:v>
                </c:pt>
                <c:pt idx="4">
                  <c:v>FSM</c:v>
                </c:pt>
                <c:pt idx="5">
                  <c:v>Tonga</c:v>
                </c:pt>
                <c:pt idx="6">
                  <c:v>Samoa</c:v>
                </c:pt>
                <c:pt idx="7">
                  <c:v>TL</c:v>
                </c:pt>
                <c:pt idx="8">
                  <c:v>Marhsall Islands</c:v>
                </c:pt>
                <c:pt idx="9">
                  <c:v>Solomon Islands</c:v>
                </c:pt>
                <c:pt idx="10">
                  <c:v>Cook Islands</c:v>
                </c:pt>
                <c:pt idx="11">
                  <c:v>Palau</c:v>
                </c:pt>
                <c:pt idx="12">
                  <c:v>Vanuatu</c:v>
                </c:pt>
                <c:pt idx="13">
                  <c:v>Fiji</c:v>
                </c:pt>
              </c:strCache>
            </c:strRef>
          </c:cat>
          <c:val>
            <c:numRef>
              <c:f>'GDP growth (pre &amp; post COVID)'!$D$26:$D$39</c:f>
              <c:numCache>
                <c:formatCode>General</c:formatCode>
                <c:ptCount val="14"/>
                <c:pt idx="0" formatCode="0.00%">
                  <c:v>0.02</c:v>
                </c:pt>
                <c:pt idx="1">
                  <c:v>6.0000000000000001E-3</c:v>
                </c:pt>
                <c:pt idx="2">
                  <c:v>-1.4999999999999999E-2</c:v>
                </c:pt>
                <c:pt idx="3">
                  <c:v>-1.7000000000000001E-2</c:v>
                </c:pt>
                <c:pt idx="4">
                  <c:v>-0.02</c:v>
                </c:pt>
                <c:pt idx="5">
                  <c:v>-0.03</c:v>
                </c:pt>
                <c:pt idx="6">
                  <c:v>-3.3000000000000002E-2</c:v>
                </c:pt>
                <c:pt idx="7">
                  <c:v>-3.6999999999999998E-2</c:v>
                </c:pt>
                <c:pt idx="8">
                  <c:v>-5.5E-2</c:v>
                </c:pt>
                <c:pt idx="9">
                  <c:v>-0.06</c:v>
                </c:pt>
                <c:pt idx="10">
                  <c:v>-0.09</c:v>
                </c:pt>
                <c:pt idx="11">
                  <c:v>-9.5000000000000001E-2</c:v>
                </c:pt>
                <c:pt idx="12">
                  <c:v>-9.8000000000000004E-2</c:v>
                </c:pt>
                <c:pt idx="13">
                  <c:v>-0.15</c:v>
                </c:pt>
              </c:numCache>
            </c:numRef>
          </c:val>
          <c:extLst>
            <c:ext xmlns:c16="http://schemas.microsoft.com/office/drawing/2014/chart" uri="{C3380CC4-5D6E-409C-BE32-E72D297353CC}">
              <c16:uniqueId val="{00000001-8FFC-4223-A483-AA06ECC12C21}"/>
            </c:ext>
          </c:extLst>
        </c:ser>
        <c:dLbls>
          <c:showLegendKey val="0"/>
          <c:showVal val="0"/>
          <c:showCatName val="0"/>
          <c:showSerName val="0"/>
          <c:showPercent val="0"/>
          <c:showBubbleSize val="0"/>
        </c:dLbls>
        <c:gapWidth val="219"/>
        <c:overlap val="-27"/>
        <c:axId val="600609960"/>
        <c:axId val="600614880"/>
      </c:barChart>
      <c:catAx>
        <c:axId val="60060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00614880"/>
        <c:crosses val="autoZero"/>
        <c:auto val="1"/>
        <c:lblAlgn val="ctr"/>
        <c:lblOffset val="100"/>
        <c:noMultiLvlLbl val="0"/>
      </c:catAx>
      <c:valAx>
        <c:axId val="600614880"/>
        <c:scaling>
          <c:orientation val="minMax"/>
          <c:min val="-0.150000000000000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crossAx val="60060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9580346456693"/>
          <c:y val="3.9639770972599193E-2"/>
          <c:w val="0.85259251817020543"/>
          <c:h val="0.86884536055727812"/>
        </c:manualLayout>
      </c:layout>
      <c:lineChart>
        <c:grouping val="standard"/>
        <c:varyColors val="0"/>
        <c:ser>
          <c:idx val="1"/>
          <c:order val="1"/>
          <c:tx>
            <c:strRef>
              <c:f>'GDP per capita (const 2010 USD)'!$A$5</c:f>
              <c:strCache>
                <c:ptCount val="1"/>
                <c:pt idx="0">
                  <c:v>Papua New Guinea</c:v>
                </c:pt>
              </c:strCache>
            </c:strRef>
          </c:tx>
          <c:spPr>
            <a:ln w="47625" cap="rnd">
              <a:solidFill>
                <a:schemeClr val="accent2"/>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USD)'!$B$5:$BI$5</c15:sqref>
                  </c15:fullRef>
                </c:ext>
              </c:extLst>
              <c:f>'GDP per capita (const 2010 USD)'!$V$5:$BI$5</c:f>
              <c:numCache>
                <c:formatCode>General</c:formatCode>
                <c:ptCount val="40"/>
                <c:pt idx="0">
                  <c:v>1588.8889158680345</c:v>
                </c:pt>
                <c:pt idx="1">
                  <c:v>1542.6644198852421</c:v>
                </c:pt>
                <c:pt idx="2">
                  <c:v>1506.8730371398019</c:v>
                </c:pt>
                <c:pt idx="3">
                  <c:v>1514.0562813762426</c:v>
                </c:pt>
                <c:pt idx="4">
                  <c:v>1469.0464214211881</c:v>
                </c:pt>
                <c:pt idx="5">
                  <c:v>1488.4746274394208</c:v>
                </c:pt>
                <c:pt idx="6">
                  <c:v>1519.0711406524438</c:v>
                </c:pt>
                <c:pt idx="7">
                  <c:v>1522.5826431769092</c:v>
                </c:pt>
                <c:pt idx="8">
                  <c:v>1528.8538721070245</c:v>
                </c:pt>
                <c:pt idx="9">
                  <c:v>1471.1464199728925</c:v>
                </c:pt>
                <c:pt idx="10">
                  <c:v>1393.1862638525122</c:v>
                </c:pt>
                <c:pt idx="11">
                  <c:v>1490.7603468042687</c:v>
                </c:pt>
                <c:pt idx="12">
                  <c:v>1658.3786024482392</c:v>
                </c:pt>
                <c:pt idx="13">
                  <c:v>1915.5496415544901</c:v>
                </c:pt>
                <c:pt idx="14">
                  <c:v>1982.6581154147659</c:v>
                </c:pt>
                <c:pt idx="15">
                  <c:v>1872.1181099446619</c:v>
                </c:pt>
                <c:pt idx="16">
                  <c:v>1968.6307152731338</c:v>
                </c:pt>
                <c:pt idx="17">
                  <c:v>1845.7839837159447</c:v>
                </c:pt>
                <c:pt idx="18">
                  <c:v>1733.216430093592</c:v>
                </c:pt>
                <c:pt idx="19">
                  <c:v>1723.8694558638103</c:v>
                </c:pt>
                <c:pt idx="20">
                  <c:v>1643.0841264353348</c:v>
                </c:pt>
                <c:pt idx="21">
                  <c:v>1606.1955032664678</c:v>
                </c:pt>
                <c:pt idx="22">
                  <c:v>1571.039332891741</c:v>
                </c:pt>
                <c:pt idx="23">
                  <c:v>1572.8630745252417</c:v>
                </c:pt>
                <c:pt idx="24">
                  <c:v>1582.3882633710166</c:v>
                </c:pt>
                <c:pt idx="25">
                  <c:v>1646.3439867966058</c:v>
                </c:pt>
                <c:pt idx="26">
                  <c:v>1695.727314484715</c:v>
                </c:pt>
                <c:pt idx="27">
                  <c:v>1784.8529803440806</c:v>
                </c:pt>
                <c:pt idx="28">
                  <c:v>1736.7863059894123</c:v>
                </c:pt>
                <c:pt idx="29">
                  <c:v>1811.1304003161988</c:v>
                </c:pt>
                <c:pt idx="30">
                  <c:v>1949.3525183856134</c:v>
                </c:pt>
                <c:pt idx="31">
                  <c:v>1928.2926798496835</c:v>
                </c:pt>
                <c:pt idx="32">
                  <c:v>1976.0987828259435</c:v>
                </c:pt>
                <c:pt idx="33">
                  <c:v>2010.22586303053</c:v>
                </c:pt>
                <c:pt idx="34">
                  <c:v>2237.0038600733401</c:v>
                </c:pt>
                <c:pt idx="35">
                  <c:v>2400.503936353171</c:v>
                </c:pt>
                <c:pt idx="36">
                  <c:v>2448.8612487354026</c:v>
                </c:pt>
                <c:pt idx="37">
                  <c:v>2485.5292656727001</c:v>
                </c:pt>
                <c:pt idx="38">
                  <c:v>2418.5410514426085</c:v>
                </c:pt>
                <c:pt idx="39">
                  <c:v>2505.1314689275832</c:v>
                </c:pt>
              </c:numCache>
            </c:numRef>
          </c:val>
          <c:smooth val="0"/>
          <c:extLst>
            <c:ext xmlns:c16="http://schemas.microsoft.com/office/drawing/2014/chart" uri="{C3380CC4-5D6E-409C-BE32-E72D297353CC}">
              <c16:uniqueId val="{00000000-86FB-4B48-8180-7388AFF8655C}"/>
            </c:ext>
          </c:extLst>
        </c:ser>
        <c:ser>
          <c:idx val="2"/>
          <c:order val="2"/>
          <c:tx>
            <c:strRef>
              <c:f>'GDP per capita (const 2010 USD)'!$A$6</c:f>
              <c:strCache>
                <c:ptCount val="1"/>
                <c:pt idx="0">
                  <c:v>Pacific island small states</c:v>
                </c:pt>
              </c:strCache>
            </c:strRef>
          </c:tx>
          <c:spPr>
            <a:ln w="47625" cap="rnd">
              <a:solidFill>
                <a:srgbClr val="92D050"/>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USD)'!$B$6:$BI$6</c15:sqref>
                  </c15:fullRef>
                </c:ext>
              </c:extLst>
              <c:f>'GDP per capita (const 2010 USD)'!$V$6:$BI$6</c:f>
              <c:numCache>
                <c:formatCode>General</c:formatCode>
                <c:ptCount val="40"/>
                <c:pt idx="1">
                  <c:v>2554.3432527824093</c:v>
                </c:pt>
                <c:pt idx="2">
                  <c:v>2428.7178953467846</c:v>
                </c:pt>
                <c:pt idx="3">
                  <c:v>2357.7986109541648</c:v>
                </c:pt>
                <c:pt idx="4">
                  <c:v>2465.9908719482787</c:v>
                </c:pt>
                <c:pt idx="5">
                  <c:v>2364.0150391746251</c:v>
                </c:pt>
                <c:pt idx="6">
                  <c:v>2472.2685802239512</c:v>
                </c:pt>
                <c:pt idx="7">
                  <c:v>2345.842349569351</c:v>
                </c:pt>
                <c:pt idx="8">
                  <c:v>2336.7157401910181</c:v>
                </c:pt>
                <c:pt idx="9">
                  <c:v>2420.4251671820743</c:v>
                </c:pt>
                <c:pt idx="10">
                  <c:v>2485.6355518112896</c:v>
                </c:pt>
                <c:pt idx="11">
                  <c:v>2448.5032396731222</c:v>
                </c:pt>
                <c:pt idx="12">
                  <c:v>2532.7634454425593</c:v>
                </c:pt>
                <c:pt idx="13">
                  <c:v>2561.6146684038617</c:v>
                </c:pt>
                <c:pt idx="14">
                  <c:v>2639.9404447139555</c:v>
                </c:pt>
                <c:pt idx="15">
                  <c:v>2697.69856305553</c:v>
                </c:pt>
                <c:pt idx="16">
                  <c:v>2737.2654110005333</c:v>
                </c:pt>
                <c:pt idx="17">
                  <c:v>2666.9583915767075</c:v>
                </c:pt>
                <c:pt idx="18">
                  <c:v>2688.316787629401</c:v>
                </c:pt>
                <c:pt idx="19">
                  <c:v>2786.022629157108</c:v>
                </c:pt>
                <c:pt idx="20">
                  <c:v>2734.5353700242645</c:v>
                </c:pt>
                <c:pt idx="21">
                  <c:v>2737.4820070712549</c:v>
                </c:pt>
                <c:pt idx="22">
                  <c:v>2760.4323069508846</c:v>
                </c:pt>
                <c:pt idx="23">
                  <c:v>2785.421212259097</c:v>
                </c:pt>
                <c:pt idx="24">
                  <c:v>2862.5153702364332</c:v>
                </c:pt>
                <c:pt idx="25">
                  <c:v>2892.4163367077067</c:v>
                </c:pt>
                <c:pt idx="26">
                  <c:v>2928.2326967336344</c:v>
                </c:pt>
                <c:pt idx="27">
                  <c:v>2923.0779230263333</c:v>
                </c:pt>
                <c:pt idx="28">
                  <c:v>2935.4319232550911</c:v>
                </c:pt>
                <c:pt idx="29">
                  <c:v>2859.4249763909284</c:v>
                </c:pt>
                <c:pt idx="30">
                  <c:v>2905.0225202869897</c:v>
                </c:pt>
                <c:pt idx="31">
                  <c:v>2980.3812194412649</c:v>
                </c:pt>
                <c:pt idx="32">
                  <c:v>2977.7994657010486</c:v>
                </c:pt>
                <c:pt idx="33">
                  <c:v>3028.0772999292935</c:v>
                </c:pt>
                <c:pt idx="34">
                  <c:v>3100.1655408169513</c:v>
                </c:pt>
                <c:pt idx="35">
                  <c:v>3184.9622068672943</c:v>
                </c:pt>
                <c:pt idx="36">
                  <c:v>3241.5305231840161</c:v>
                </c:pt>
                <c:pt idx="37">
                  <c:v>3320.6305241968057</c:v>
                </c:pt>
                <c:pt idx="38">
                  <c:v>3358.4991186217117</c:v>
                </c:pt>
                <c:pt idx="39">
                  <c:v>3369.8086139210641</c:v>
                </c:pt>
              </c:numCache>
            </c:numRef>
          </c:val>
          <c:smooth val="0"/>
          <c:extLst>
            <c:ext xmlns:c16="http://schemas.microsoft.com/office/drawing/2014/chart" uri="{C3380CC4-5D6E-409C-BE32-E72D297353CC}">
              <c16:uniqueId val="{00000001-86FB-4B48-8180-7388AFF8655C}"/>
            </c:ext>
          </c:extLst>
        </c:ser>
        <c:ser>
          <c:idx val="3"/>
          <c:order val="3"/>
          <c:tx>
            <c:strRef>
              <c:f>'GDP per capita (const 2010 USD)'!$A$7</c:f>
              <c:strCache>
                <c:ptCount val="1"/>
                <c:pt idx="0">
                  <c:v>Timor-Leste</c:v>
                </c:pt>
              </c:strCache>
            </c:strRef>
          </c:tx>
          <c:spPr>
            <a:ln w="47625" cap="rnd">
              <a:solidFill>
                <a:schemeClr val="accent4"/>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USD)'!$B$7:$BI$7</c15:sqref>
                  </c15:fullRef>
                </c:ext>
              </c:extLst>
              <c:f>'GDP per capita (const 2010 USD)'!$V$7:$BI$7</c:f>
              <c:numCache>
                <c:formatCode>General</c:formatCode>
                <c:ptCount val="40"/>
                <c:pt idx="20">
                  <c:v>640.81525235092806</c:v>
                </c:pt>
                <c:pt idx="21">
                  <c:v>731.63541401812972</c:v>
                </c:pt>
                <c:pt idx="22">
                  <c:v>666.71981424075977</c:v>
                </c:pt>
                <c:pt idx="23">
                  <c:v>635.35894133513057</c:v>
                </c:pt>
                <c:pt idx="24">
                  <c:v>621.63278298626801</c:v>
                </c:pt>
                <c:pt idx="25">
                  <c:v>625.44271194232647</c:v>
                </c:pt>
                <c:pt idx="26">
                  <c:v>587.17326167657552</c:v>
                </c:pt>
                <c:pt idx="27">
                  <c:v>634.76285502767234</c:v>
                </c:pt>
                <c:pt idx="28">
                  <c:v>693.99161277682686</c:v>
                </c:pt>
                <c:pt idx="29">
                  <c:v>749.91847303344287</c:v>
                </c:pt>
                <c:pt idx="30">
                  <c:v>806.40786170985973</c:v>
                </c:pt>
                <c:pt idx="31">
                  <c:v>838.18871218612503</c:v>
                </c:pt>
                <c:pt idx="32">
                  <c:v>873.0559975890485</c:v>
                </c:pt>
                <c:pt idx="33">
                  <c:v>875.9134745244337</c:v>
                </c:pt>
                <c:pt idx="34">
                  <c:v>898.5088439959784</c:v>
                </c:pt>
                <c:pt idx="35">
                  <c:v>908.96108965853307</c:v>
                </c:pt>
                <c:pt idx="36">
                  <c:v>923.4897882577975</c:v>
                </c:pt>
                <c:pt idx="37">
                  <c:v>871.27902583276307</c:v>
                </c:pt>
                <c:pt idx="38">
                  <c:v>847.63669898235241</c:v>
                </c:pt>
                <c:pt idx="39">
                  <c:v>859.53005356622953</c:v>
                </c:pt>
              </c:numCache>
            </c:numRef>
          </c:val>
          <c:smooth val="0"/>
          <c:extLst>
            <c:ext xmlns:c16="http://schemas.microsoft.com/office/drawing/2014/chart" uri="{C3380CC4-5D6E-409C-BE32-E72D297353CC}">
              <c16:uniqueId val="{00000002-86FB-4B48-8180-7388AFF8655C}"/>
            </c:ext>
          </c:extLst>
        </c:ser>
        <c:ser>
          <c:idx val="4"/>
          <c:order val="4"/>
          <c:tx>
            <c:strRef>
              <c:f>'GDP per capita (const 2010 USD)'!$A$8</c:f>
              <c:strCache>
                <c:ptCount val="1"/>
                <c:pt idx="0">
                  <c:v>East Asia</c:v>
                </c:pt>
              </c:strCache>
            </c:strRef>
          </c:tx>
          <c:spPr>
            <a:ln w="47625" cap="rnd">
              <a:solidFill>
                <a:srgbClr val="00B0F0"/>
              </a:solidFill>
              <a:round/>
            </a:ln>
            <a:effectLst/>
          </c:spPr>
          <c:marker>
            <c:symbol val="none"/>
          </c:marker>
          <c:cat>
            <c:strRef>
              <c:extLst>
                <c:ext xmlns:c15="http://schemas.microsoft.com/office/drawing/2012/chart" uri="{02D57815-91ED-43cb-92C2-25804820EDAC}">
                  <c15:fullRef>
                    <c15:sqref>'GDP per capita (const 2010 USD)'!$B$3:$BI$3</c15:sqref>
                  </c15:fullRef>
                </c:ext>
              </c:extLst>
              <c:f>'GDP per capita (const 2010 USD)'!$V$3:$BI$3</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xmlns:c15="http://schemas.microsoft.com/office/drawing/2012/chart" uri="{02D57815-91ED-43cb-92C2-25804820EDAC}">
                  <c15:fullRef>
                    <c15:sqref>'GDP per capita (const 2010 USD)'!$B$8:$BI$8</c15:sqref>
                  </c15:fullRef>
                </c:ext>
              </c:extLst>
              <c:f>'GDP per capita (const 2010 USD)'!$V$8:$BI$8</c:f>
              <c:numCache>
                <c:formatCode>General</c:formatCode>
                <c:ptCount val="40"/>
                <c:pt idx="0">
                  <c:v>556.82612221457157</c:v>
                </c:pt>
                <c:pt idx="1">
                  <c:v>580.06729371402264</c:v>
                </c:pt>
                <c:pt idx="2">
                  <c:v>604.60258702258125</c:v>
                </c:pt>
                <c:pt idx="3">
                  <c:v>638.07867310460426</c:v>
                </c:pt>
                <c:pt idx="4">
                  <c:v>686.93894659931209</c:v>
                </c:pt>
                <c:pt idx="5">
                  <c:v>724.44477788117456</c:v>
                </c:pt>
                <c:pt idx="6">
                  <c:v>761.66196998228054</c:v>
                </c:pt>
                <c:pt idx="7">
                  <c:v>814.15080632531362</c:v>
                </c:pt>
                <c:pt idx="8">
                  <c:v>876.33468359500125</c:v>
                </c:pt>
                <c:pt idx="9">
                  <c:v>912.96624854866263</c:v>
                </c:pt>
                <c:pt idx="10">
                  <c:v>946.98528983046538</c:v>
                </c:pt>
                <c:pt idx="11">
                  <c:v>1006.6305331718323</c:v>
                </c:pt>
                <c:pt idx="12">
                  <c:v>1099.2649649249565</c:v>
                </c:pt>
                <c:pt idx="13">
                  <c:v>1202.7049716037386</c:v>
                </c:pt>
                <c:pt idx="14">
                  <c:v>1313.4576982335509</c:v>
                </c:pt>
                <c:pt idx="15">
                  <c:v>1423.1163858771379</c:v>
                </c:pt>
                <c:pt idx="16">
                  <c:v>1531.5079471258418</c:v>
                </c:pt>
                <c:pt idx="17">
                  <c:v>1619.7352801325837</c:v>
                </c:pt>
                <c:pt idx="18">
                  <c:v>1629.4180577522559</c:v>
                </c:pt>
                <c:pt idx="19">
                  <c:v>1710.7885570991912</c:v>
                </c:pt>
                <c:pt idx="20">
                  <c:v>1821.0566233935053</c:v>
                </c:pt>
                <c:pt idx="21">
                  <c:v>1925.2282802591856</c:v>
                </c:pt>
                <c:pt idx="22">
                  <c:v>2058.2657416158354</c:v>
                </c:pt>
                <c:pt idx="23">
                  <c:v>2219.1713678345786</c:v>
                </c:pt>
                <c:pt idx="24">
                  <c:v>2397.4870102363625</c:v>
                </c:pt>
                <c:pt idx="25">
                  <c:v>2609.2379545163917</c:v>
                </c:pt>
                <c:pt idx="26">
                  <c:v>2867.7831444150511</c:v>
                </c:pt>
                <c:pt idx="27">
                  <c:v>3192.5381884788717</c:v>
                </c:pt>
                <c:pt idx="28">
                  <c:v>3436.6647412346156</c:v>
                </c:pt>
                <c:pt idx="29">
                  <c:v>3674.9671118653368</c:v>
                </c:pt>
                <c:pt idx="30">
                  <c:v>4005.488963302043</c:v>
                </c:pt>
                <c:pt idx="31">
                  <c:v>4313.7127211561565</c:v>
                </c:pt>
                <c:pt idx="32">
                  <c:v>4604.4748271941644</c:v>
                </c:pt>
                <c:pt idx="33">
                  <c:v>4900.3681411382504</c:v>
                </c:pt>
                <c:pt idx="34">
                  <c:v>5199.3191826843431</c:v>
                </c:pt>
                <c:pt idx="35">
                  <c:v>5503.86135458837</c:v>
                </c:pt>
                <c:pt idx="36">
                  <c:v>5817.7008634862041</c:v>
                </c:pt>
                <c:pt idx="37">
                  <c:v>6158.474969679779</c:v>
                </c:pt>
                <c:pt idx="38">
                  <c:v>6513.2418790138872</c:v>
                </c:pt>
                <c:pt idx="39">
                  <c:v>6853.4010058593003</c:v>
                </c:pt>
              </c:numCache>
            </c:numRef>
          </c:val>
          <c:smooth val="0"/>
          <c:extLst>
            <c:ext xmlns:c16="http://schemas.microsoft.com/office/drawing/2014/chart" uri="{C3380CC4-5D6E-409C-BE32-E72D297353CC}">
              <c16:uniqueId val="{00000003-86FB-4B48-8180-7388AFF8655C}"/>
            </c:ext>
          </c:extLst>
        </c:ser>
        <c:dLbls>
          <c:showLegendKey val="0"/>
          <c:showVal val="0"/>
          <c:showCatName val="0"/>
          <c:showSerName val="0"/>
          <c:showPercent val="0"/>
          <c:showBubbleSize val="0"/>
        </c:dLbls>
        <c:smooth val="0"/>
        <c:axId val="826098280"/>
        <c:axId val="826095328"/>
        <c:extLst>
          <c:ext xmlns:c15="http://schemas.microsoft.com/office/drawing/2012/chart" uri="{02D57815-91ED-43cb-92C2-25804820EDAC}">
            <c15:filteredLineSeries>
              <c15:ser>
                <c:idx val="0"/>
                <c:order val="0"/>
                <c:tx>
                  <c:strRef>
                    <c:extLst>
                      <c:ext uri="{02D57815-91ED-43cb-92C2-25804820EDAC}">
                        <c15:formulaRef>
                          <c15:sqref>'GDP per capita (const 2010 USD)'!$A$4</c15:sqref>
                        </c15:formulaRef>
                      </c:ext>
                    </c:extLst>
                    <c:strCache>
                      <c:ptCount val="1"/>
                      <c:pt idx="0">
                        <c:v>East Asia &amp; Pacific</c:v>
                      </c:pt>
                    </c:strCache>
                  </c:strRef>
                </c:tx>
                <c:spPr>
                  <a:ln w="47625" cap="rnd">
                    <a:solidFill>
                      <a:schemeClr val="accent1"/>
                    </a:solidFill>
                    <a:round/>
                  </a:ln>
                  <a:effectLst/>
                </c:spPr>
                <c:marker>
                  <c:symbol val="none"/>
                </c:marker>
                <c:cat>
                  <c:strRef>
                    <c:extLst>
                      <c:ext uri="{02D57815-91ED-43cb-92C2-25804820EDAC}">
                        <c15:fullRef>
                          <c15:sqref>'GDP per capita (const 2010 USD)'!$B$3:$BI$3</c15:sqref>
                        </c15:fullRef>
                        <c15:formulaRef>
                          <c15:sqref>'GDP per capita (const 2010 USD)'!$V$3:$BI$3</c15:sqref>
                        </c15:formulaRef>
                      </c:ext>
                    </c:extLst>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strCache>
                  </c:strRef>
                </c:cat>
                <c:val>
                  <c:numRef>
                    <c:extLst>
                      <c:ext uri="{02D57815-91ED-43cb-92C2-25804820EDAC}">
                        <c15:fullRef>
                          <c15:sqref>'GDP per capita (const 2010 USD)'!$B$4:$BI$4</c15:sqref>
                        </c15:fullRef>
                        <c15:formulaRef>
                          <c15:sqref>'GDP per capita (const 2010 USD)'!$V$4:$BI$4</c15:sqref>
                        </c15:formulaRef>
                      </c:ext>
                    </c:extLst>
                    <c:numCache>
                      <c:formatCode>General</c:formatCode>
                      <c:ptCount val="40"/>
                      <c:pt idx="0">
                        <c:v>2957.0610955086131</c:v>
                      </c:pt>
                      <c:pt idx="1">
                        <c:v>3046.1667701611354</c:v>
                      </c:pt>
                      <c:pt idx="2">
                        <c:v>3114.7633401515691</c:v>
                      </c:pt>
                      <c:pt idx="3">
                        <c:v>3190.8539468074259</c:v>
                      </c:pt>
                      <c:pt idx="4">
                        <c:v>3324.4050935425739</c:v>
                      </c:pt>
                      <c:pt idx="5">
                        <c:v>3454.7649874179056</c:v>
                      </c:pt>
                      <c:pt idx="6">
                        <c:v>3555.742564843968</c:v>
                      </c:pt>
                      <c:pt idx="7">
                        <c:v>3704.1087443076799</c:v>
                      </c:pt>
                      <c:pt idx="8">
                        <c:v>3915.572083856875</c:v>
                      </c:pt>
                      <c:pt idx="9">
                        <c:v>4051.8339672075736</c:v>
                      </c:pt>
                      <c:pt idx="10">
                        <c:v>4195.2103998588982</c:v>
                      </c:pt>
                      <c:pt idx="11">
                        <c:v>4320.8889071785552</c:v>
                      </c:pt>
                      <c:pt idx="12">
                        <c:v>4410.6578511386115</c:v>
                      </c:pt>
                      <c:pt idx="13">
                        <c:v>4493.550853654936</c:v>
                      </c:pt>
                      <c:pt idx="14">
                        <c:v>4630.2856061876091</c:v>
                      </c:pt>
                      <c:pt idx="15">
                        <c:v>4809.3641709586364</c:v>
                      </c:pt>
                      <c:pt idx="16">
                        <c:v>4996.5393191230942</c:v>
                      </c:pt>
                      <c:pt idx="17">
                        <c:v>5112.4603402796956</c:v>
                      </c:pt>
                      <c:pt idx="18">
                        <c:v>5053.664355388335</c:v>
                      </c:pt>
                      <c:pt idx="19">
                        <c:v>5154.6281190488226</c:v>
                      </c:pt>
                      <c:pt idx="20">
                        <c:v>5357.0034648912952</c:v>
                      </c:pt>
                      <c:pt idx="21">
                        <c:v>5452.540161468195</c:v>
                      </c:pt>
                      <c:pt idx="22">
                        <c:v>5603.127291978436</c:v>
                      </c:pt>
                      <c:pt idx="23">
                        <c:v>5796.7452277011607</c:v>
                      </c:pt>
                      <c:pt idx="24">
                        <c:v>6051.3200824453252</c:v>
                      </c:pt>
                      <c:pt idx="25">
                        <c:v>6311.0993100947098</c:v>
                      </c:pt>
                      <c:pt idx="26">
                        <c:v>6612.4905470646772</c:v>
                      </c:pt>
                      <c:pt idx="27">
                        <c:v>6992.0448304194051</c:v>
                      </c:pt>
                      <c:pt idx="28">
                        <c:v>7188.3239899155988</c:v>
                      </c:pt>
                      <c:pt idx="29">
                        <c:v>7238.3143759928535</c:v>
                      </c:pt>
                      <c:pt idx="30">
                        <c:v>7697.9928046449559</c:v>
                      </c:pt>
                      <c:pt idx="31">
                        <c:v>7999.3031644515277</c:v>
                      </c:pt>
                      <c:pt idx="32">
                        <c:v>8318.0940129273768</c:v>
                      </c:pt>
                      <c:pt idx="33">
                        <c:v>8655.923894496751</c:v>
                      </c:pt>
                      <c:pt idx="34">
                        <c:v>8957.2035363324612</c:v>
                      </c:pt>
                      <c:pt idx="35">
                        <c:v>9270.529422189109</c:v>
                      </c:pt>
                      <c:pt idx="36">
                        <c:v>9584.2028994561006</c:v>
                      </c:pt>
                      <c:pt idx="37">
                        <c:v>9972.6468077636691</c:v>
                      </c:pt>
                      <c:pt idx="38">
                        <c:v>10325.855885012601</c:v>
                      </c:pt>
                      <c:pt idx="39">
                        <c:v>10657.279394341293</c:v>
                      </c:pt>
                    </c:numCache>
                  </c:numRef>
                </c:val>
                <c:smooth val="0"/>
                <c:extLst>
                  <c:ext xmlns:c16="http://schemas.microsoft.com/office/drawing/2014/chart" uri="{C3380CC4-5D6E-409C-BE32-E72D297353CC}">
                    <c16:uniqueId val="{00000004-86FB-4B48-8180-7388AFF8655C}"/>
                  </c:ext>
                </c:extLst>
              </c15:ser>
            </c15:filteredLineSeries>
          </c:ext>
        </c:extLst>
      </c:lineChart>
      <c:catAx>
        <c:axId val="826098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826095328"/>
        <c:crosses val="autoZero"/>
        <c:auto val="1"/>
        <c:lblAlgn val="ctr"/>
        <c:lblOffset val="100"/>
        <c:noMultiLvlLbl val="0"/>
      </c:catAx>
      <c:valAx>
        <c:axId val="826095328"/>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sz="1000" b="1"/>
                  <a:t>GDP per capita (in constant</a:t>
                </a:r>
                <a:r>
                  <a:rPr lang="en-GB" sz="1000" b="1" baseline="0"/>
                  <a:t> 2010 US$)</a:t>
                </a:r>
                <a:endParaRPr lang="en-GB" sz="1000" b="1"/>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8260982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workings'!$C$26</c:f>
              <c:strCache>
                <c:ptCount val="1"/>
                <c:pt idx="0">
                  <c:v>18/19</c:v>
                </c:pt>
              </c:strCache>
            </c:strRef>
          </c:tx>
          <c:spPr>
            <a:solidFill>
              <a:schemeClr val="accent1"/>
            </a:solidFill>
            <a:ln>
              <a:noFill/>
            </a:ln>
            <a:effectLst/>
          </c:spPr>
          <c:invertIfNegative val="0"/>
          <c:cat>
            <c:strRef>
              <c:f>'Budget 2020-21 workings'!$B$27:$B$29</c:f>
              <c:strCache>
                <c:ptCount val="3"/>
                <c:pt idx="0">
                  <c:v>Samoa</c:v>
                </c:pt>
                <c:pt idx="1">
                  <c:v>Tonga</c:v>
                </c:pt>
                <c:pt idx="2">
                  <c:v>Fiji</c:v>
                </c:pt>
              </c:strCache>
            </c:strRef>
          </c:cat>
          <c:val>
            <c:numRef>
              <c:f>'Budget 2020-21 workings'!$C$27:$C$29</c:f>
              <c:numCache>
                <c:formatCode>General</c:formatCode>
                <c:ptCount val="3"/>
                <c:pt idx="0">
                  <c:v>48</c:v>
                </c:pt>
                <c:pt idx="1">
                  <c:v>43.1</c:v>
                </c:pt>
                <c:pt idx="2">
                  <c:v>49.3</c:v>
                </c:pt>
              </c:numCache>
            </c:numRef>
          </c:val>
          <c:extLst>
            <c:ext xmlns:c16="http://schemas.microsoft.com/office/drawing/2014/chart" uri="{C3380CC4-5D6E-409C-BE32-E72D297353CC}">
              <c16:uniqueId val="{00000000-84C7-4D09-8CEC-900D0AE77D5A}"/>
            </c:ext>
          </c:extLst>
        </c:ser>
        <c:ser>
          <c:idx val="1"/>
          <c:order val="1"/>
          <c:tx>
            <c:strRef>
              <c:f>'Budget 2020-21 workings'!$D$26</c:f>
              <c:strCache>
                <c:ptCount val="1"/>
                <c:pt idx="0">
                  <c:v>19/20</c:v>
                </c:pt>
              </c:strCache>
            </c:strRef>
          </c:tx>
          <c:spPr>
            <a:solidFill>
              <a:schemeClr val="accent2"/>
            </a:solidFill>
            <a:ln>
              <a:noFill/>
            </a:ln>
            <a:effectLst/>
          </c:spPr>
          <c:invertIfNegative val="0"/>
          <c:cat>
            <c:strRef>
              <c:f>'Budget 2020-21 workings'!$B$27:$B$29</c:f>
              <c:strCache>
                <c:ptCount val="3"/>
                <c:pt idx="0">
                  <c:v>Samoa</c:v>
                </c:pt>
                <c:pt idx="1">
                  <c:v>Tonga</c:v>
                </c:pt>
                <c:pt idx="2">
                  <c:v>Fiji</c:v>
                </c:pt>
              </c:strCache>
            </c:strRef>
          </c:cat>
          <c:val>
            <c:numRef>
              <c:f>'Budget 2020-21 workings'!$D$27:$D$29</c:f>
              <c:numCache>
                <c:formatCode>General</c:formatCode>
                <c:ptCount val="3"/>
                <c:pt idx="0">
                  <c:v>48</c:v>
                </c:pt>
                <c:pt idx="1">
                  <c:v>46.1</c:v>
                </c:pt>
                <c:pt idx="2">
                  <c:v>65.599999999999994</c:v>
                </c:pt>
              </c:numCache>
            </c:numRef>
          </c:val>
          <c:extLst>
            <c:ext xmlns:c16="http://schemas.microsoft.com/office/drawing/2014/chart" uri="{C3380CC4-5D6E-409C-BE32-E72D297353CC}">
              <c16:uniqueId val="{00000001-84C7-4D09-8CEC-900D0AE77D5A}"/>
            </c:ext>
          </c:extLst>
        </c:ser>
        <c:ser>
          <c:idx val="2"/>
          <c:order val="2"/>
          <c:tx>
            <c:strRef>
              <c:f>'Budget 2020-21 workings'!$E$26</c:f>
              <c:strCache>
                <c:ptCount val="1"/>
                <c:pt idx="0">
                  <c:v>20/21</c:v>
                </c:pt>
              </c:strCache>
            </c:strRef>
          </c:tx>
          <c:spPr>
            <a:solidFill>
              <a:schemeClr val="accent3"/>
            </a:solidFill>
            <a:ln>
              <a:noFill/>
            </a:ln>
            <a:effectLst/>
          </c:spPr>
          <c:invertIfNegative val="0"/>
          <c:cat>
            <c:strRef>
              <c:f>'Budget 2020-21 workings'!$B$27:$B$29</c:f>
              <c:strCache>
                <c:ptCount val="3"/>
                <c:pt idx="0">
                  <c:v>Samoa</c:v>
                </c:pt>
                <c:pt idx="1">
                  <c:v>Tonga</c:v>
                </c:pt>
                <c:pt idx="2">
                  <c:v>Fiji</c:v>
                </c:pt>
              </c:strCache>
            </c:strRef>
          </c:cat>
          <c:val>
            <c:numRef>
              <c:f>'Budget 2020-21 workings'!$E$27:$E$29</c:f>
              <c:numCache>
                <c:formatCode>General</c:formatCode>
                <c:ptCount val="3"/>
                <c:pt idx="0">
                  <c:v>44</c:v>
                </c:pt>
                <c:pt idx="1">
                  <c:v>49</c:v>
                </c:pt>
                <c:pt idx="2">
                  <c:v>83.4</c:v>
                </c:pt>
              </c:numCache>
            </c:numRef>
          </c:val>
          <c:extLst>
            <c:ext xmlns:c16="http://schemas.microsoft.com/office/drawing/2014/chart" uri="{C3380CC4-5D6E-409C-BE32-E72D297353CC}">
              <c16:uniqueId val="{00000002-84C7-4D09-8CEC-900D0AE77D5A}"/>
            </c:ext>
          </c:extLst>
        </c:ser>
        <c:dLbls>
          <c:showLegendKey val="0"/>
          <c:showVal val="0"/>
          <c:showCatName val="0"/>
          <c:showSerName val="0"/>
          <c:showPercent val="0"/>
          <c:showBubbleSize val="0"/>
        </c:dLbls>
        <c:gapWidth val="219"/>
        <c:overlap val="-27"/>
        <c:axId val="545113520"/>
        <c:axId val="545114832"/>
      </c:barChart>
      <c:catAx>
        <c:axId val="54511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4832"/>
        <c:crosses val="autoZero"/>
        <c:auto val="1"/>
        <c:lblAlgn val="ctr"/>
        <c:lblOffset val="100"/>
        <c:noMultiLvlLbl val="0"/>
      </c:catAx>
      <c:valAx>
        <c:axId val="545114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511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329984719214206E-2"/>
          <c:y val="2.1847070506454815E-2"/>
          <c:w val="0.95711479434241908"/>
          <c:h val="0.83588869718737502"/>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Remittances!$J$3:$J$11</c15:sqref>
                  </c15:fullRef>
                </c:ext>
              </c:extLst>
              <c:f>(Remittances!$J$3,Remittances!$J$6:$J$7,Remittances!$J$9:$J$11)</c:f>
              <c:strCache>
                <c:ptCount val="6"/>
                <c:pt idx="0">
                  <c:v>Fiji</c:v>
                </c:pt>
                <c:pt idx="1">
                  <c:v>Timor-Leste</c:v>
                </c:pt>
                <c:pt idx="2">
                  <c:v>Tonga</c:v>
                </c:pt>
                <c:pt idx="3">
                  <c:v>Samoa</c:v>
                </c:pt>
                <c:pt idx="4">
                  <c:v>CW Pacific</c:v>
                </c:pt>
                <c:pt idx="5">
                  <c:v>Other Pacific </c:v>
                </c:pt>
              </c:strCache>
            </c:strRef>
          </c:cat>
          <c:val>
            <c:numRef>
              <c:extLst>
                <c:ext xmlns:c15="http://schemas.microsoft.com/office/drawing/2012/chart" uri="{02D57815-91ED-43cb-92C2-25804820EDAC}">
                  <c15:fullRef>
                    <c15:sqref>Remittances!$K$3:$K$11</c15:sqref>
                  </c15:fullRef>
                </c:ext>
              </c:extLst>
              <c:f>(Remittances!$K$3,Remittances!$K$6:$K$7,Remittances!$K$9:$K$11)</c:f>
              <c:numCache>
                <c:formatCode>General</c:formatCode>
                <c:ptCount val="6"/>
                <c:pt idx="0" formatCode="0.00%">
                  <c:v>0.13200000000000001</c:v>
                </c:pt>
                <c:pt idx="1" formatCode="0.00%">
                  <c:v>0.17699999999999999</c:v>
                </c:pt>
                <c:pt idx="2" formatCode="0.00%">
                  <c:v>0.13</c:v>
                </c:pt>
                <c:pt idx="3" formatCode="0.00%">
                  <c:v>0.13</c:v>
                </c:pt>
                <c:pt idx="4" formatCode="0.00%">
                  <c:v>0.13100000000000001</c:v>
                </c:pt>
                <c:pt idx="5" formatCode="0.00%">
                  <c:v>0.13</c:v>
                </c:pt>
              </c:numCache>
            </c:numRef>
          </c:val>
          <c:extLst>
            <c:ext xmlns:c16="http://schemas.microsoft.com/office/drawing/2014/chart" uri="{C3380CC4-5D6E-409C-BE32-E72D297353CC}">
              <c16:uniqueId val="{00000000-C322-4A08-9876-F181C066957A}"/>
            </c:ext>
          </c:extLst>
        </c:ser>
        <c:dLbls>
          <c:dLblPos val="outEnd"/>
          <c:showLegendKey val="0"/>
          <c:showVal val="1"/>
          <c:showCatName val="0"/>
          <c:showSerName val="0"/>
          <c:showPercent val="0"/>
          <c:showBubbleSize val="0"/>
        </c:dLbls>
        <c:gapWidth val="219"/>
        <c:overlap val="-27"/>
        <c:axId val="677273656"/>
        <c:axId val="677272344"/>
      </c:barChart>
      <c:catAx>
        <c:axId val="677273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677272344"/>
        <c:crosses val="autoZero"/>
        <c:auto val="1"/>
        <c:lblAlgn val="ctr"/>
        <c:lblOffset val="100"/>
        <c:noMultiLvlLbl val="0"/>
      </c:catAx>
      <c:valAx>
        <c:axId val="677272344"/>
        <c:scaling>
          <c:orientation val="minMax"/>
        </c:scaling>
        <c:delete val="1"/>
        <c:axPos val="l"/>
        <c:numFmt formatCode="0%" sourceLinked="0"/>
        <c:majorTickMark val="none"/>
        <c:minorTickMark val="none"/>
        <c:tickLblPos val="nextTo"/>
        <c:crossAx val="67727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Remittances!$C$3</c:f>
              <c:strCache>
                <c:ptCount val="1"/>
                <c:pt idx="0">
                  <c:v>Fiji</c:v>
                </c:pt>
              </c:strCache>
            </c:strRef>
          </c:tx>
          <c:spPr>
            <a:ln w="28575" cap="rnd">
              <a:solidFill>
                <a:srgbClr val="FFC000"/>
              </a:solidFill>
              <a:round/>
            </a:ln>
            <a:effectLst/>
          </c:spPr>
          <c:marker>
            <c:symbol val="none"/>
          </c:marker>
          <c:cat>
            <c:multiLvlStrRef>
              <c:f>Remittances!$A$305:$B$334</c:f>
              <c:multiLvlStrCache>
                <c:ptCount val="3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lvl>
                <c:lvl>
                  <c:pt idx="0">
                    <c:v>2018</c:v>
                  </c:pt>
                  <c:pt idx="12">
                    <c:v>2019</c:v>
                  </c:pt>
                  <c:pt idx="24">
                    <c:v>2020</c:v>
                  </c:pt>
                </c:lvl>
              </c:multiLvlStrCache>
            </c:multiLvlStrRef>
          </c:cat>
          <c:val>
            <c:numRef>
              <c:f>Remittances!$C$305:$C$334</c:f>
              <c:numCache>
                <c:formatCode>General</c:formatCode>
                <c:ptCount val="30"/>
                <c:pt idx="0">
                  <c:v>42.492991454993536</c:v>
                </c:pt>
                <c:pt idx="1">
                  <c:v>34.237234708487257</c:v>
                </c:pt>
                <c:pt idx="2">
                  <c:v>51.347164930150093</c:v>
                </c:pt>
                <c:pt idx="3">
                  <c:v>43.614795236978601</c:v>
                </c:pt>
                <c:pt idx="4">
                  <c:v>45.274200055608425</c:v>
                </c:pt>
                <c:pt idx="5">
                  <c:v>58.172131523491743</c:v>
                </c:pt>
                <c:pt idx="6">
                  <c:v>44.356474585496834</c:v>
                </c:pt>
                <c:pt idx="7">
                  <c:v>56.792516300393842</c:v>
                </c:pt>
                <c:pt idx="8">
                  <c:v>45.400442235865256</c:v>
                </c:pt>
                <c:pt idx="9">
                  <c:v>42.794719171991787</c:v>
                </c:pt>
                <c:pt idx="10">
                  <c:v>51.290265336092439</c:v>
                </c:pt>
                <c:pt idx="11">
                  <c:v>48.234994134755773</c:v>
                </c:pt>
                <c:pt idx="12">
                  <c:v>40.561438635222025</c:v>
                </c:pt>
                <c:pt idx="13">
                  <c:v>43.745335585691628</c:v>
                </c:pt>
                <c:pt idx="14">
                  <c:v>54.716509787743533</c:v>
                </c:pt>
                <c:pt idx="15">
                  <c:v>42.476370595983575</c:v>
                </c:pt>
                <c:pt idx="16">
                  <c:v>57.374575842184363</c:v>
                </c:pt>
                <c:pt idx="17">
                  <c:v>54.296050110033171</c:v>
                </c:pt>
                <c:pt idx="18">
                  <c:v>46.027647588213043</c:v>
                </c:pt>
                <c:pt idx="19">
                  <c:v>60.539854930343942</c:v>
                </c:pt>
                <c:pt idx="20">
                  <c:v>42.350269177223105</c:v>
                </c:pt>
                <c:pt idx="21">
                  <c:v>43.472127473599528</c:v>
                </c:pt>
                <c:pt idx="22">
                  <c:v>53.036257942168916</c:v>
                </c:pt>
                <c:pt idx="23">
                  <c:v>48.922830380723617</c:v>
                </c:pt>
                <c:pt idx="24">
                  <c:v>56.293336804053148</c:v>
                </c:pt>
                <c:pt idx="25">
                  <c:v>50.20012998911767</c:v>
                </c:pt>
                <c:pt idx="26">
                  <c:v>41</c:v>
                </c:pt>
                <c:pt idx="27">
                  <c:v>29</c:v>
                </c:pt>
                <c:pt idx="28">
                  <c:v>56.700923416307297</c:v>
                </c:pt>
                <c:pt idx="29">
                  <c:v>43.577507876170642</c:v>
                </c:pt>
              </c:numCache>
            </c:numRef>
          </c:val>
          <c:smooth val="0"/>
          <c:extLst>
            <c:ext xmlns:c16="http://schemas.microsoft.com/office/drawing/2014/chart" uri="{C3380CC4-5D6E-409C-BE32-E72D297353CC}">
              <c16:uniqueId val="{00000000-1D08-41AF-901E-C713EE181FCD}"/>
            </c:ext>
          </c:extLst>
        </c:ser>
        <c:ser>
          <c:idx val="1"/>
          <c:order val="1"/>
          <c:tx>
            <c:strRef>
              <c:f>Remittances!$D$3</c:f>
              <c:strCache>
                <c:ptCount val="1"/>
                <c:pt idx="0">
                  <c:v>Samoa</c:v>
                </c:pt>
              </c:strCache>
            </c:strRef>
          </c:tx>
          <c:spPr>
            <a:ln w="28575" cap="rnd">
              <a:solidFill>
                <a:srgbClr val="0070C0"/>
              </a:solidFill>
              <a:round/>
            </a:ln>
            <a:effectLst/>
          </c:spPr>
          <c:marker>
            <c:symbol val="none"/>
          </c:marker>
          <c:cat>
            <c:multiLvlStrRef>
              <c:f>Remittances!$A$305:$B$334</c:f>
              <c:multiLvlStrCache>
                <c:ptCount val="3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lvl>
                <c:lvl>
                  <c:pt idx="0">
                    <c:v>2018</c:v>
                  </c:pt>
                  <c:pt idx="12">
                    <c:v>2019</c:v>
                  </c:pt>
                  <c:pt idx="24">
                    <c:v>2020</c:v>
                  </c:pt>
                </c:lvl>
              </c:multiLvlStrCache>
            </c:multiLvlStrRef>
          </c:cat>
          <c:val>
            <c:numRef>
              <c:f>Remittances!$D$305:$D$334</c:f>
              <c:numCache>
                <c:formatCode>General</c:formatCode>
                <c:ptCount val="30"/>
                <c:pt idx="0">
                  <c:v>39.766279268933332</c:v>
                </c:pt>
                <c:pt idx="1">
                  <c:v>37.578443423263998</c:v>
                </c:pt>
                <c:pt idx="2">
                  <c:v>44.490157105792001</c:v>
                </c:pt>
                <c:pt idx="3">
                  <c:v>41.875393007333336</c:v>
                </c:pt>
                <c:pt idx="4">
                  <c:v>49.340554611565324</c:v>
                </c:pt>
                <c:pt idx="5">
                  <c:v>40.176396344933337</c:v>
                </c:pt>
                <c:pt idx="6">
                  <c:v>40.550136745210658</c:v>
                </c:pt>
                <c:pt idx="7">
                  <c:v>48.118221197103999</c:v>
                </c:pt>
                <c:pt idx="8">
                  <c:v>37.367502119362669</c:v>
                </c:pt>
                <c:pt idx="9">
                  <c:v>40.944833392133326</c:v>
                </c:pt>
                <c:pt idx="10">
                  <c:v>41.812467336666664</c:v>
                </c:pt>
                <c:pt idx="11">
                  <c:v>66.29326442</c:v>
                </c:pt>
                <c:pt idx="12">
                  <c:v>40.217955714111994</c:v>
                </c:pt>
                <c:pt idx="13">
                  <c:v>39.12952752333333</c:v>
                </c:pt>
                <c:pt idx="14">
                  <c:v>54.623554043333343</c:v>
                </c:pt>
                <c:pt idx="15">
                  <c:v>40.250252732349324</c:v>
                </c:pt>
                <c:pt idx="16">
                  <c:v>47.447820626290664</c:v>
                </c:pt>
                <c:pt idx="17">
                  <c:v>40.660782308000002</c:v>
                </c:pt>
                <c:pt idx="18">
                  <c:v>53.449721512666663</c:v>
                </c:pt>
                <c:pt idx="19">
                  <c:v>47.064843576000001</c:v>
                </c:pt>
                <c:pt idx="20">
                  <c:v>38.339893359999991</c:v>
                </c:pt>
                <c:pt idx="21">
                  <c:v>42.236189165999996</c:v>
                </c:pt>
                <c:pt idx="22">
                  <c:v>42.55813735466667</c:v>
                </c:pt>
                <c:pt idx="23">
                  <c:v>57.240285488666665</c:v>
                </c:pt>
                <c:pt idx="24">
                  <c:v>46.888319756666668</c:v>
                </c:pt>
                <c:pt idx="25">
                  <c:v>41.973193476666658</c:v>
                </c:pt>
                <c:pt idx="26">
                  <c:v>46.868479326666666</c:v>
                </c:pt>
                <c:pt idx="27">
                  <c:v>36.751553532666669</c:v>
                </c:pt>
                <c:pt idx="28">
                  <c:v>58.366809816666674</c:v>
                </c:pt>
                <c:pt idx="29">
                  <c:v>51.658362830000002</c:v>
                </c:pt>
              </c:numCache>
            </c:numRef>
          </c:val>
          <c:smooth val="0"/>
          <c:extLst>
            <c:ext xmlns:c16="http://schemas.microsoft.com/office/drawing/2014/chart" uri="{C3380CC4-5D6E-409C-BE32-E72D297353CC}">
              <c16:uniqueId val="{00000001-1D08-41AF-901E-C713EE181FCD}"/>
            </c:ext>
          </c:extLst>
        </c:ser>
        <c:dLbls>
          <c:showLegendKey val="0"/>
          <c:showVal val="0"/>
          <c:showCatName val="0"/>
          <c:showSerName val="0"/>
          <c:showPercent val="0"/>
          <c:showBubbleSize val="0"/>
        </c:dLbls>
        <c:smooth val="0"/>
        <c:axId val="714694944"/>
        <c:axId val="714695600"/>
      </c:lineChart>
      <c:catAx>
        <c:axId val="71469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4695600"/>
        <c:crosses val="autoZero"/>
        <c:auto val="1"/>
        <c:lblAlgn val="ctr"/>
        <c:lblOffset val="100"/>
        <c:noMultiLvlLbl val="0"/>
      </c:catAx>
      <c:valAx>
        <c:axId val="7146956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GB" sz="1100"/>
                  <a:t>In million LCU (local currency units)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1469494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'Commodity prices'!$A$21</c:f>
              <c:strCache>
                <c:ptCount val="1"/>
                <c:pt idx="0">
                  <c:v>Jan </c:v>
                </c:pt>
              </c:strCache>
            </c:strRef>
          </c:tx>
          <c:spPr>
            <a:solidFill>
              <a:schemeClr val="accent1"/>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prices'!$B$21:$G$21</c:f>
              <c:numCache>
                <c:formatCode>0.00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9D21-4A0E-8634-486D2BABF383}"/>
            </c:ext>
          </c:extLst>
        </c:ser>
        <c:ser>
          <c:idx val="1"/>
          <c:order val="1"/>
          <c:tx>
            <c:strRef>
              <c:f>'Commodity prices'!$A$22</c:f>
              <c:strCache>
                <c:ptCount val="1"/>
                <c:pt idx="0">
                  <c:v>Feb</c:v>
                </c:pt>
              </c:strCache>
            </c:strRef>
          </c:tx>
          <c:spPr>
            <a:solidFill>
              <a:schemeClr val="accent2"/>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prices'!$B$22:$G$22</c:f>
              <c:numCache>
                <c:formatCode>0.00</c:formatCode>
                <c:ptCount val="6"/>
                <c:pt idx="0">
                  <c:v>0.86564257897014285</c:v>
                </c:pt>
                <c:pt idx="1">
                  <c:v>1.0233425387814208</c:v>
                </c:pt>
                <c:pt idx="2">
                  <c:v>0.99183315352309065</c:v>
                </c:pt>
                <c:pt idx="3">
                  <c:v>0.89968768131149146</c:v>
                </c:pt>
                <c:pt idx="4">
                  <c:v>0.95295027779731345</c:v>
                </c:pt>
                <c:pt idx="5">
                  <c:v>1.0925925925925926</c:v>
                </c:pt>
              </c:numCache>
            </c:numRef>
          </c:val>
          <c:extLst>
            <c:ext xmlns:c16="http://schemas.microsoft.com/office/drawing/2014/chart" uri="{C3380CC4-5D6E-409C-BE32-E72D297353CC}">
              <c16:uniqueId val="{00000001-9D21-4A0E-8634-486D2BABF383}"/>
            </c:ext>
          </c:extLst>
        </c:ser>
        <c:ser>
          <c:idx val="2"/>
          <c:order val="2"/>
          <c:tx>
            <c:strRef>
              <c:f>'Commodity prices'!$A$23</c:f>
              <c:strCache>
                <c:ptCount val="1"/>
                <c:pt idx="0">
                  <c:v>Mar</c:v>
                </c:pt>
              </c:strCache>
            </c:strRef>
          </c:tx>
          <c:spPr>
            <a:solidFill>
              <a:schemeClr val="accent3"/>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prices'!$B$23:$G$23</c:f>
              <c:numCache>
                <c:formatCode>0.00</c:formatCode>
                <c:ptCount val="6"/>
                <c:pt idx="0">
                  <c:v>0.52255517092167802</c:v>
                </c:pt>
                <c:pt idx="1">
                  <c:v>1.0200298589708265</c:v>
                </c:pt>
                <c:pt idx="2">
                  <c:v>0.96473874642015212</c:v>
                </c:pt>
                <c:pt idx="3">
                  <c:v>0.78542595084375422</c:v>
                </c:pt>
                <c:pt idx="4">
                  <c:v>1.0431816583444686</c:v>
                </c:pt>
                <c:pt idx="5">
                  <c:v>1.1111111111111109</c:v>
                </c:pt>
              </c:numCache>
            </c:numRef>
          </c:val>
          <c:extLst>
            <c:ext xmlns:c16="http://schemas.microsoft.com/office/drawing/2014/chart" uri="{C3380CC4-5D6E-409C-BE32-E72D297353CC}">
              <c16:uniqueId val="{00000002-9D21-4A0E-8634-486D2BABF383}"/>
            </c:ext>
          </c:extLst>
        </c:ser>
        <c:ser>
          <c:idx val="3"/>
          <c:order val="3"/>
          <c:tx>
            <c:strRef>
              <c:f>'Commodity prices'!$A$24</c:f>
              <c:strCache>
                <c:ptCount val="1"/>
                <c:pt idx="0">
                  <c:v>Apr</c:v>
                </c:pt>
              </c:strCache>
            </c:strRef>
          </c:tx>
          <c:spPr>
            <a:solidFill>
              <a:schemeClr val="accent4"/>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prices'!$B$24:$G$24</c:f>
              <c:numCache>
                <c:formatCode>0.00</c:formatCode>
                <c:ptCount val="6"/>
                <c:pt idx="0">
                  <c:v>0.34146473388143589</c:v>
                </c:pt>
                <c:pt idx="1">
                  <c:v>1.078491929748121</c:v>
                </c:pt>
                <c:pt idx="2">
                  <c:v>0.96565952503422259</c:v>
                </c:pt>
                <c:pt idx="3">
                  <c:v>0.75163874726875446</c:v>
                </c:pt>
                <c:pt idx="4">
                  <c:v>1.0867149588578662</c:v>
                </c:pt>
                <c:pt idx="5">
                  <c:v>1.037037037037037</c:v>
                </c:pt>
              </c:numCache>
            </c:numRef>
          </c:val>
          <c:extLst>
            <c:ext xmlns:c16="http://schemas.microsoft.com/office/drawing/2014/chart" uri="{C3380CC4-5D6E-409C-BE32-E72D297353CC}">
              <c16:uniqueId val="{00000003-9D21-4A0E-8634-486D2BABF383}"/>
            </c:ext>
          </c:extLst>
        </c:ser>
        <c:ser>
          <c:idx val="4"/>
          <c:order val="4"/>
          <c:tx>
            <c:strRef>
              <c:f>'Commodity prices'!$A$25</c:f>
              <c:strCache>
                <c:ptCount val="1"/>
                <c:pt idx="0">
                  <c:v>May </c:v>
                </c:pt>
              </c:strCache>
            </c:strRef>
          </c:tx>
          <c:spPr>
            <a:solidFill>
              <a:schemeClr val="accent5"/>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prices'!$B$25:$G$25</c:f>
              <c:numCache>
                <c:formatCode>0.00</c:formatCode>
                <c:ptCount val="6"/>
                <c:pt idx="0">
                  <c:v>0.4929684119428816</c:v>
                </c:pt>
                <c:pt idx="1">
                  <c:v>1.0994700993803943</c:v>
                </c:pt>
                <c:pt idx="2">
                  <c:v>0.96040758011423855</c:v>
                </c:pt>
                <c:pt idx="3">
                  <c:v>0.70843260458972679</c:v>
                </c:pt>
                <c:pt idx="4">
                  <c:v>1.0538012518461213</c:v>
                </c:pt>
                <c:pt idx="5">
                  <c:v>0.88888888888888884</c:v>
                </c:pt>
              </c:numCache>
            </c:numRef>
          </c:val>
          <c:extLst>
            <c:ext xmlns:c16="http://schemas.microsoft.com/office/drawing/2014/chart" uri="{C3380CC4-5D6E-409C-BE32-E72D297353CC}">
              <c16:uniqueId val="{00000004-9D21-4A0E-8634-486D2BABF383}"/>
            </c:ext>
          </c:extLst>
        </c:ser>
        <c:ser>
          <c:idx val="5"/>
          <c:order val="5"/>
          <c:tx>
            <c:strRef>
              <c:f>'Commodity prices'!$A$26</c:f>
              <c:strCache>
                <c:ptCount val="1"/>
                <c:pt idx="0">
                  <c:v>Jun</c:v>
                </c:pt>
              </c:strCache>
            </c:strRef>
          </c:tx>
          <c:spPr>
            <a:solidFill>
              <a:schemeClr val="accent6"/>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prices'!$B$26:$G$26</c:f>
              <c:numCache>
                <c:formatCode>0.00</c:formatCode>
                <c:ptCount val="6"/>
                <c:pt idx="0">
                  <c:v>0.64025313717005639</c:v>
                </c:pt>
                <c:pt idx="1">
                  <c:v>1.1099207391697155</c:v>
                </c:pt>
                <c:pt idx="2">
                  <c:v>0.97338936282774846</c:v>
                </c:pt>
                <c:pt idx="3">
                  <c:v>0.80435024133716837</c:v>
                </c:pt>
                <c:pt idx="4">
                  <c:v>0.99416273999578031</c:v>
                </c:pt>
                <c:pt idx="5">
                  <c:v>0.88888888888888884</c:v>
                </c:pt>
              </c:numCache>
            </c:numRef>
          </c:val>
          <c:extLst>
            <c:ext xmlns:c16="http://schemas.microsoft.com/office/drawing/2014/chart" uri="{C3380CC4-5D6E-409C-BE32-E72D297353CC}">
              <c16:uniqueId val="{00000005-9D21-4A0E-8634-486D2BABF383}"/>
            </c:ext>
          </c:extLst>
        </c:ser>
        <c:ser>
          <c:idx val="6"/>
          <c:order val="6"/>
          <c:tx>
            <c:strRef>
              <c:f>'Commodity prices'!$A$27</c:f>
              <c:strCache>
                <c:ptCount val="1"/>
                <c:pt idx="0">
                  <c:v>July</c:v>
                </c:pt>
              </c:strCache>
            </c:strRef>
          </c:tx>
          <c:spPr>
            <a:solidFill>
              <a:schemeClr val="accent1">
                <a:lumMod val="60000"/>
              </a:schemeClr>
            </a:solidFill>
            <a:ln>
              <a:noFill/>
            </a:ln>
            <a:effectLst/>
          </c:spPr>
          <c:invertIfNegative val="0"/>
          <c:cat>
            <c:strRef>
              <c:f>'Commodity prices'!$B$20:$G$20</c:f>
              <c:strCache>
                <c:ptCount val="6"/>
                <c:pt idx="0">
                  <c:v>Oil</c:v>
                </c:pt>
                <c:pt idx="1">
                  <c:v>Gold</c:v>
                </c:pt>
                <c:pt idx="2">
                  <c:v>Timber</c:v>
                </c:pt>
                <c:pt idx="3">
                  <c:v>Palm oil</c:v>
                </c:pt>
                <c:pt idx="4">
                  <c:v>Coffee</c:v>
                </c:pt>
                <c:pt idx="5">
                  <c:v>Tuna</c:v>
                </c:pt>
              </c:strCache>
            </c:strRef>
          </c:cat>
          <c:val>
            <c:numRef>
              <c:f>'Commodity prices'!$B$27:$G$27</c:f>
              <c:numCache>
                <c:formatCode>General</c:formatCode>
                <c:ptCount val="6"/>
                <c:pt idx="5" formatCode="0.00">
                  <c:v>1.1481481481481481</c:v>
                </c:pt>
              </c:numCache>
            </c:numRef>
          </c:val>
          <c:extLst>
            <c:ext xmlns:c16="http://schemas.microsoft.com/office/drawing/2014/chart" uri="{C3380CC4-5D6E-409C-BE32-E72D297353CC}">
              <c16:uniqueId val="{00000006-9D21-4A0E-8634-486D2BABF383}"/>
            </c:ext>
          </c:extLst>
        </c:ser>
        <c:dLbls>
          <c:showLegendKey val="0"/>
          <c:showVal val="0"/>
          <c:showCatName val="0"/>
          <c:showSerName val="0"/>
          <c:showPercent val="0"/>
          <c:showBubbleSize val="0"/>
        </c:dLbls>
        <c:gapWidth val="219"/>
        <c:overlap val="-27"/>
        <c:axId val="530779280"/>
        <c:axId val="530783872"/>
      </c:barChart>
      <c:catAx>
        <c:axId val="530779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783872"/>
        <c:crosses val="autoZero"/>
        <c:auto val="1"/>
        <c:lblAlgn val="ctr"/>
        <c:lblOffset val="100"/>
        <c:noMultiLvlLbl val="0"/>
      </c:catAx>
      <c:valAx>
        <c:axId val="530783872"/>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0779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'Tourism reliance analysis'!$H$22</c:f>
              <c:strCache>
                <c:ptCount val="1"/>
                <c:pt idx="0">
                  <c:v>Tourism</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rich>
                  <a:bodyPr/>
                  <a:lstStyle/>
                  <a:p>
                    <a:fld id="{CA7A3863-BC5D-4520-8B28-D421F2EF66F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9E6-4D72-9BAD-BEEE6680ED27}"/>
                </c:ext>
              </c:extLst>
            </c:dLbl>
            <c:dLbl>
              <c:idx val="1"/>
              <c:tx>
                <c:rich>
                  <a:bodyPr/>
                  <a:lstStyle/>
                  <a:p>
                    <a:fld id="{BB3A0531-574B-4683-A5BC-31EFE3190DC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9E6-4D72-9BAD-BEEE6680ED27}"/>
                </c:ext>
              </c:extLst>
            </c:dLbl>
            <c:dLbl>
              <c:idx val="2"/>
              <c:tx>
                <c:rich>
                  <a:bodyPr/>
                  <a:lstStyle/>
                  <a:p>
                    <a:fld id="{B5503756-92F7-4CCE-AE8E-270095631C8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9E6-4D72-9BAD-BEEE6680ED27}"/>
                </c:ext>
              </c:extLst>
            </c:dLbl>
            <c:dLbl>
              <c:idx val="3"/>
              <c:tx>
                <c:rich>
                  <a:bodyPr/>
                  <a:lstStyle/>
                  <a:p>
                    <a:fld id="{EB4887E7-8F7B-4E50-B353-14224B85B5D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9E6-4D72-9BAD-BEEE6680ED27}"/>
                </c:ext>
              </c:extLst>
            </c:dLbl>
            <c:dLbl>
              <c:idx val="4"/>
              <c:tx>
                <c:rich>
                  <a:bodyPr/>
                  <a:lstStyle/>
                  <a:p>
                    <a:fld id="{1442E6C2-1555-4B6C-91C8-6A38768CD4A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9E6-4D72-9BAD-BEEE6680ED27}"/>
                </c:ext>
              </c:extLst>
            </c:dLbl>
            <c:dLbl>
              <c:idx val="5"/>
              <c:tx>
                <c:rich>
                  <a:bodyPr/>
                  <a:lstStyle/>
                  <a:p>
                    <a:fld id="{25A76D90-7DE8-46DB-BC00-213791C9F11E}"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9E6-4D72-9BAD-BEEE6680ED27}"/>
                </c:ext>
              </c:extLst>
            </c:dLbl>
            <c:dLbl>
              <c:idx val="6"/>
              <c:tx>
                <c:rich>
                  <a:bodyPr/>
                  <a:lstStyle/>
                  <a:p>
                    <a:fld id="{AF144190-A63C-477F-BCBE-2FBF08A3030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9E6-4D72-9BAD-BEEE6680ED27}"/>
                </c:ext>
              </c:extLst>
            </c:dLbl>
            <c:dLbl>
              <c:idx val="7"/>
              <c:tx>
                <c:rich>
                  <a:bodyPr/>
                  <a:lstStyle/>
                  <a:p>
                    <a:fld id="{EBC051E4-ED35-4980-A317-D5E05EC2CC84}"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9E6-4D72-9BAD-BEEE6680ED27}"/>
                </c:ext>
              </c:extLst>
            </c:dLbl>
            <c:dLbl>
              <c:idx val="8"/>
              <c:tx>
                <c:rich>
                  <a:bodyPr/>
                  <a:lstStyle/>
                  <a:p>
                    <a:fld id="{A89D0468-D064-44FE-AC82-E11D5AB8899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9E6-4D72-9BAD-BEEE6680ED27}"/>
                </c:ext>
              </c:extLst>
            </c:dLbl>
            <c:dLbl>
              <c:idx val="9"/>
              <c:tx>
                <c:rich>
                  <a:bodyPr/>
                  <a:lstStyle/>
                  <a:p>
                    <a:fld id="{5C8B59BF-0BC8-43A0-863A-F381E9AA370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9E6-4D72-9BAD-BEEE6680ED27}"/>
                </c:ext>
              </c:extLst>
            </c:dLbl>
            <c:dLbl>
              <c:idx val="10"/>
              <c:layout>
                <c:manualLayout>
                  <c:x val="-8.7872811764945716E-3"/>
                  <c:y val="4.67004650549994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4BFA852A-27C4-4A87-86A9-DCAF83B7DA81}" type="CELLRANGE">
                      <a:rPr lang="en-US"/>
                      <a:pPr>
                        <a:defRPr/>
                      </a:pPr>
                      <a:t>[CELLRANGE]</a:t>
                    </a:fld>
                    <a:endParaRPr lang="en-GB"/>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layout>
                    <c:manualLayout>
                      <c:w val="0.10312577396668146"/>
                      <c:h val="6.0115923009623796E-2"/>
                    </c:manualLayout>
                  </c15:layout>
                  <c15:dlblFieldTable/>
                  <c15:showDataLabelsRange val="1"/>
                </c:ext>
                <c:ext xmlns:c16="http://schemas.microsoft.com/office/drawing/2014/chart" uri="{C3380CC4-5D6E-409C-BE32-E72D297353CC}">
                  <c16:uniqueId val="{0000000A-C9E6-4D72-9BAD-BEEE6680ED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'Tourism reliance analysis'!$H$23:$H$33</c:f>
              <c:numCache>
                <c:formatCode>General</c:formatCode>
                <c:ptCount val="11"/>
                <c:pt idx="0">
                  <c:v>1</c:v>
                </c:pt>
                <c:pt idx="1">
                  <c:v>4</c:v>
                </c:pt>
                <c:pt idx="2">
                  <c:v>3</c:v>
                </c:pt>
                <c:pt idx="3">
                  <c:v>2</c:v>
                </c:pt>
                <c:pt idx="4">
                  <c:v>6</c:v>
                </c:pt>
                <c:pt idx="5">
                  <c:v>5</c:v>
                </c:pt>
                <c:pt idx="6">
                  <c:v>10</c:v>
                </c:pt>
                <c:pt idx="7">
                  <c:v>7</c:v>
                </c:pt>
                <c:pt idx="8">
                  <c:v>9</c:v>
                </c:pt>
                <c:pt idx="9">
                  <c:v>8</c:v>
                </c:pt>
                <c:pt idx="10">
                  <c:v>11</c:v>
                </c:pt>
              </c:numCache>
            </c:numRef>
          </c:xVal>
          <c:yVal>
            <c:numRef>
              <c:f>'Tourism reliance analysis'!$G$23:$G$33</c:f>
              <c:numCache>
                <c:formatCode>General</c:formatCode>
                <c:ptCount val="11"/>
                <c:pt idx="0">
                  <c:v>2</c:v>
                </c:pt>
                <c:pt idx="1">
                  <c:v>8</c:v>
                </c:pt>
                <c:pt idx="2">
                  <c:v>6</c:v>
                </c:pt>
                <c:pt idx="3">
                  <c:v>1</c:v>
                </c:pt>
                <c:pt idx="4">
                  <c:v>7</c:v>
                </c:pt>
                <c:pt idx="5">
                  <c:v>3</c:v>
                </c:pt>
                <c:pt idx="6">
                  <c:v>10</c:v>
                </c:pt>
                <c:pt idx="7">
                  <c:v>4</c:v>
                </c:pt>
                <c:pt idx="8">
                  <c:v>5</c:v>
                </c:pt>
                <c:pt idx="9">
                  <c:v>11</c:v>
                </c:pt>
                <c:pt idx="10">
                  <c:v>9</c:v>
                </c:pt>
              </c:numCache>
            </c:numRef>
          </c:yVal>
          <c:smooth val="0"/>
          <c:extLst>
            <c:ext xmlns:c15="http://schemas.microsoft.com/office/drawing/2012/chart" uri="{02D57815-91ED-43cb-92C2-25804820EDAC}">
              <c15:datalabelsRange>
                <c15:f>'Tourism reliance analysis'!$F$23:$F$33</c15:f>
                <c15:dlblRangeCache>
                  <c:ptCount val="11"/>
                  <c:pt idx="0">
                    <c:v>PNG</c:v>
                  </c:pt>
                  <c:pt idx="1">
                    <c:v>SI</c:v>
                  </c:pt>
                  <c:pt idx="2">
                    <c:v>TL</c:v>
                  </c:pt>
                  <c:pt idx="3">
                    <c:v>Kiribati</c:v>
                  </c:pt>
                  <c:pt idx="4">
                    <c:v>RMI</c:v>
                  </c:pt>
                  <c:pt idx="5">
                    <c:v>FSM</c:v>
                  </c:pt>
                  <c:pt idx="6">
                    <c:v>Vanuatu</c:v>
                  </c:pt>
                  <c:pt idx="7">
                    <c:v>Tonga</c:v>
                  </c:pt>
                  <c:pt idx="8">
                    <c:v>Samoa</c:v>
                  </c:pt>
                  <c:pt idx="9">
                    <c:v>Fiji</c:v>
                  </c:pt>
                  <c:pt idx="10">
                    <c:v>Palau</c:v>
                  </c:pt>
                </c15:dlblRangeCache>
              </c15:datalabelsRange>
            </c:ext>
            <c:ext xmlns:c16="http://schemas.microsoft.com/office/drawing/2014/chart" uri="{C3380CC4-5D6E-409C-BE32-E72D297353CC}">
              <c16:uniqueId val="{0000000B-C9E6-4D72-9BAD-BEEE6680ED27}"/>
            </c:ext>
          </c:extLst>
        </c:ser>
        <c:dLbls>
          <c:showLegendKey val="0"/>
          <c:showVal val="0"/>
          <c:showCatName val="0"/>
          <c:showSerName val="0"/>
          <c:showPercent val="0"/>
          <c:showBubbleSize val="0"/>
        </c:dLbls>
        <c:axId val="614476008"/>
        <c:axId val="614475680"/>
      </c:scatterChart>
      <c:valAx>
        <c:axId val="614476008"/>
        <c:scaling>
          <c:orientation val="minMax"/>
          <c:max val="11"/>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a:t>Ranking by tourism to GDP</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475680"/>
        <c:crosses val="autoZero"/>
        <c:crossBetween val="midCat"/>
        <c:majorUnit val="1"/>
      </c:valAx>
      <c:valAx>
        <c:axId val="614475680"/>
        <c:scaling>
          <c:orientation val="minMax"/>
          <c:max val="11"/>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0"/>
                  <a:t>Ranking by hit to GDP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476008"/>
        <c:crosses val="autoZero"/>
        <c:crossBetween val="midCat"/>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dLbl>
              <c:idx val="0"/>
              <c:tx>
                <c:rich>
                  <a:bodyPr/>
                  <a:lstStyle/>
                  <a:p>
                    <a:fld id="{6E86FAB6-A277-48B7-B961-57A47583B39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58-4E53-9C8F-2C977C8DE969}"/>
                </c:ext>
              </c:extLst>
            </c:dLbl>
            <c:dLbl>
              <c:idx val="1"/>
              <c:tx>
                <c:rich>
                  <a:bodyPr/>
                  <a:lstStyle/>
                  <a:p>
                    <a:fld id="{C3A45E08-3938-41CC-810A-7C5C2D68DDC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458-4E53-9C8F-2C977C8DE969}"/>
                </c:ext>
              </c:extLst>
            </c:dLbl>
            <c:dLbl>
              <c:idx val="2"/>
              <c:tx>
                <c:rich>
                  <a:bodyPr/>
                  <a:lstStyle/>
                  <a:p>
                    <a:fld id="{74520168-853A-4C8F-866A-6B2BB6637C3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458-4E53-9C8F-2C977C8DE969}"/>
                </c:ext>
              </c:extLst>
            </c:dLbl>
            <c:dLbl>
              <c:idx val="3"/>
              <c:tx>
                <c:rich>
                  <a:bodyPr/>
                  <a:lstStyle/>
                  <a:p>
                    <a:fld id="{87155890-08C9-4D33-BA1F-0317E666343D}"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458-4E53-9C8F-2C977C8DE969}"/>
                </c:ext>
              </c:extLst>
            </c:dLbl>
            <c:dLbl>
              <c:idx val="4"/>
              <c:tx>
                <c:rich>
                  <a:bodyPr/>
                  <a:lstStyle/>
                  <a:p>
                    <a:fld id="{134B8ED6-32ED-4DAB-8B93-5F37ACB22BEF}"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458-4E53-9C8F-2C977C8DE969}"/>
                </c:ext>
              </c:extLst>
            </c:dLbl>
            <c:dLbl>
              <c:idx val="5"/>
              <c:tx>
                <c:rich>
                  <a:bodyPr/>
                  <a:lstStyle/>
                  <a:p>
                    <a:fld id="{FBA6D02A-110B-4DB3-BF55-C14CB44B8415}"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458-4E53-9C8F-2C977C8DE969}"/>
                </c:ext>
              </c:extLst>
            </c:dLbl>
            <c:dLbl>
              <c:idx val="6"/>
              <c:tx>
                <c:rich>
                  <a:bodyPr/>
                  <a:lstStyle/>
                  <a:p>
                    <a:fld id="{F5AA8A7F-8820-4DF8-A043-EBFEB08A1E8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458-4E53-9C8F-2C977C8DE969}"/>
                </c:ext>
              </c:extLst>
            </c:dLbl>
            <c:dLbl>
              <c:idx val="7"/>
              <c:tx>
                <c:rich>
                  <a:bodyPr/>
                  <a:lstStyle/>
                  <a:p>
                    <a:fld id="{CEFB6CC6-66AD-4CF7-B764-0DBC80D910B2}"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458-4E53-9C8F-2C977C8DE969}"/>
                </c:ext>
              </c:extLst>
            </c:dLbl>
            <c:dLbl>
              <c:idx val="8"/>
              <c:tx>
                <c:rich>
                  <a:bodyPr/>
                  <a:lstStyle/>
                  <a:p>
                    <a:fld id="{DB84E269-FC2A-43ED-BB71-0BDA3E9FD483}"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458-4E53-9C8F-2C977C8DE969}"/>
                </c:ext>
              </c:extLst>
            </c:dLbl>
            <c:dLbl>
              <c:idx val="9"/>
              <c:tx>
                <c:rich>
                  <a:bodyPr/>
                  <a:lstStyle/>
                  <a:p>
                    <a:fld id="{BA7BF6A7-84D3-4BD7-B3AB-A20ECB19967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458-4E53-9C8F-2C977C8DE969}"/>
                </c:ext>
              </c:extLst>
            </c:dLbl>
            <c:dLbl>
              <c:idx val="10"/>
              <c:tx>
                <c:rich>
                  <a:bodyPr/>
                  <a:lstStyle/>
                  <a:p>
                    <a:fld id="{6FD0A907-FDAA-4687-9F1D-A92E85B71D48}"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458-4E53-9C8F-2C977C8DE969}"/>
                </c:ext>
              </c:extLst>
            </c:dLbl>
            <c:dLbl>
              <c:idx val="11"/>
              <c:tx>
                <c:rich>
                  <a:bodyPr/>
                  <a:lstStyle/>
                  <a:p>
                    <a:fld id="{69A260E9-A0BA-4206-A165-57A33FD56240}"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458-4E53-9C8F-2C977C8DE969}"/>
                </c:ext>
              </c:extLst>
            </c:dLbl>
            <c:dLbl>
              <c:idx val="12"/>
              <c:tx>
                <c:rich>
                  <a:bodyPr/>
                  <a:lstStyle/>
                  <a:p>
                    <a:fld id="{5F2A765E-00A5-42A5-90E0-FF82326B2D4C}"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458-4E53-9C8F-2C977C8DE96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'ODA as % of GNI'!$A$33:$A$45</c:f>
              <c:strCache>
                <c:ptCount val="13"/>
                <c:pt idx="0">
                  <c:v>    Marshall Islands</c:v>
                </c:pt>
                <c:pt idx="1">
                  <c:v>    FSM</c:v>
                </c:pt>
                <c:pt idx="2">
                  <c:v>    Tuvalu</c:v>
                </c:pt>
                <c:pt idx="3">
                  <c:v>    Nauru</c:v>
                </c:pt>
                <c:pt idx="4">
                  <c:v>    Tonga</c:v>
                </c:pt>
                <c:pt idx="5">
                  <c:v>    Solomon Islands</c:v>
                </c:pt>
                <c:pt idx="6">
                  <c:v>    Vanuatu</c:v>
                </c:pt>
                <c:pt idx="7">
                  <c:v>    Kiribati</c:v>
                </c:pt>
                <c:pt idx="8">
                  <c:v>    Samoa</c:v>
                </c:pt>
                <c:pt idx="9">
                  <c:v>    Palau</c:v>
                </c:pt>
                <c:pt idx="10">
                  <c:v>    Timor-Leste</c:v>
                </c:pt>
                <c:pt idx="11">
                  <c:v>    PNG</c:v>
                </c:pt>
                <c:pt idx="12">
                  <c:v>    Fiji</c:v>
                </c:pt>
              </c:strCache>
            </c:strRef>
          </c:cat>
          <c:val>
            <c:numRef>
              <c:f>'ODA as % of GNI'!$K$33:$K$45</c:f>
              <c:numCache>
                <c:formatCode>0</c:formatCode>
                <c:ptCount val="13"/>
                <c:pt idx="0">
                  <c:v>27.29</c:v>
                </c:pt>
                <c:pt idx="1">
                  <c:v>22.9</c:v>
                </c:pt>
                <c:pt idx="2">
                  <c:v>22.54</c:v>
                </c:pt>
                <c:pt idx="3">
                  <c:v>16.239999999999998</c:v>
                </c:pt>
                <c:pt idx="4">
                  <c:v>12.88</c:v>
                </c:pt>
                <c:pt idx="5">
                  <c:v>12.77</c:v>
                </c:pt>
                <c:pt idx="6">
                  <c:v>12.1</c:v>
                </c:pt>
                <c:pt idx="7">
                  <c:v>11.76</c:v>
                </c:pt>
                <c:pt idx="8">
                  <c:v>9.2799999999999994</c:v>
                </c:pt>
                <c:pt idx="9">
                  <c:v>6.35</c:v>
                </c:pt>
                <c:pt idx="10">
                  <c:v>6.3</c:v>
                </c:pt>
                <c:pt idx="11">
                  <c:v>2.17</c:v>
                </c:pt>
                <c:pt idx="12">
                  <c:v>1.98</c:v>
                </c:pt>
              </c:numCache>
            </c:numRef>
          </c:val>
          <c:extLst>
            <c:ext xmlns:c15="http://schemas.microsoft.com/office/drawing/2012/chart" uri="{02D57815-91ED-43cb-92C2-25804820EDAC}">
              <c15:datalabelsRange>
                <c15:f>'ODA as % of GNI'!$L$33:$L$45</c15:f>
                <c15:dlblRangeCache>
                  <c:ptCount val="13"/>
                  <c:pt idx="0">
                    <c:v>1</c:v>
                  </c:pt>
                  <c:pt idx="1">
                    <c:v>2</c:v>
                  </c:pt>
                  <c:pt idx="2">
                    <c:v>3</c:v>
                  </c:pt>
                  <c:pt idx="3">
                    <c:v>6</c:v>
                  </c:pt>
                  <c:pt idx="4">
                    <c:v>8</c:v>
                  </c:pt>
                  <c:pt idx="5">
                    <c:v>10</c:v>
                  </c:pt>
                  <c:pt idx="6">
                    <c:v>12</c:v>
                  </c:pt>
                  <c:pt idx="7">
                    <c:v>13</c:v>
                  </c:pt>
                  <c:pt idx="8">
                    <c:v>15</c:v>
                  </c:pt>
                  <c:pt idx="9">
                    <c:v>19</c:v>
                  </c:pt>
                  <c:pt idx="10">
                    <c:v>20</c:v>
                  </c:pt>
                  <c:pt idx="11">
                    <c:v>47</c:v>
                  </c:pt>
                  <c:pt idx="12">
                    <c:v>51</c:v>
                  </c:pt>
                </c15:dlblRangeCache>
              </c15:datalabelsRange>
            </c:ext>
            <c:ext xmlns:c16="http://schemas.microsoft.com/office/drawing/2014/chart" uri="{C3380CC4-5D6E-409C-BE32-E72D297353CC}">
              <c16:uniqueId val="{0000000D-1458-4E53-9C8F-2C977C8DE969}"/>
            </c:ext>
          </c:extLst>
        </c:ser>
        <c:dLbls>
          <c:showLegendKey val="0"/>
          <c:showVal val="0"/>
          <c:showCatName val="0"/>
          <c:showSerName val="0"/>
          <c:showPercent val="0"/>
          <c:showBubbleSize val="0"/>
        </c:dLbls>
        <c:gapWidth val="219"/>
        <c:overlap val="-27"/>
        <c:axId val="414478272"/>
        <c:axId val="414476960"/>
      </c:barChart>
      <c:catAx>
        <c:axId val="41447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14476960"/>
        <c:crosses val="autoZero"/>
        <c:auto val="1"/>
        <c:lblAlgn val="ctr"/>
        <c:lblOffset val="100"/>
        <c:noMultiLvlLbl val="0"/>
      </c:catAx>
      <c:valAx>
        <c:axId val="41447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AU" sz="1050" b="1"/>
                  <a:t>%</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14478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workings'!$C$9</c:f>
              <c:strCache>
                <c:ptCount val="1"/>
                <c:pt idx="0">
                  <c:v>18/19</c:v>
                </c:pt>
              </c:strCache>
            </c:strRef>
          </c:tx>
          <c:spPr>
            <a:solidFill>
              <a:schemeClr val="accent1"/>
            </a:solidFill>
            <a:ln>
              <a:noFill/>
            </a:ln>
            <a:effectLst/>
          </c:spPr>
          <c:invertIfNegative val="0"/>
          <c:cat>
            <c:strRef>
              <c:f>'Budget 2020-21 workings'!$B$10:$B$12</c:f>
              <c:strCache>
                <c:ptCount val="3"/>
                <c:pt idx="0">
                  <c:v>Samoa</c:v>
                </c:pt>
                <c:pt idx="1">
                  <c:v>Tonga</c:v>
                </c:pt>
                <c:pt idx="2">
                  <c:v>Fiji</c:v>
                </c:pt>
              </c:strCache>
            </c:strRef>
          </c:cat>
          <c:val>
            <c:numRef>
              <c:f>'Budget 2020-21 workings'!$C$10:$C$12</c:f>
              <c:numCache>
                <c:formatCode>General</c:formatCode>
                <c:ptCount val="3"/>
                <c:pt idx="0">
                  <c:v>3.5</c:v>
                </c:pt>
                <c:pt idx="1">
                  <c:v>0.7</c:v>
                </c:pt>
                <c:pt idx="2">
                  <c:v>3.1</c:v>
                </c:pt>
              </c:numCache>
            </c:numRef>
          </c:val>
          <c:extLst>
            <c:ext xmlns:c16="http://schemas.microsoft.com/office/drawing/2014/chart" uri="{C3380CC4-5D6E-409C-BE32-E72D297353CC}">
              <c16:uniqueId val="{00000000-8D0D-4576-A5F1-69028F4246F0}"/>
            </c:ext>
          </c:extLst>
        </c:ser>
        <c:ser>
          <c:idx val="1"/>
          <c:order val="1"/>
          <c:tx>
            <c:strRef>
              <c:f>'Budget 2020-21 workings'!$D$9</c:f>
              <c:strCache>
                <c:ptCount val="1"/>
                <c:pt idx="0">
                  <c:v>19/20</c:v>
                </c:pt>
              </c:strCache>
            </c:strRef>
          </c:tx>
          <c:spPr>
            <a:solidFill>
              <a:schemeClr val="accent2"/>
            </a:solidFill>
            <a:ln>
              <a:noFill/>
            </a:ln>
            <a:effectLst/>
          </c:spPr>
          <c:invertIfNegative val="0"/>
          <c:cat>
            <c:strRef>
              <c:f>'Budget 2020-21 workings'!$B$10:$B$12</c:f>
              <c:strCache>
                <c:ptCount val="3"/>
                <c:pt idx="0">
                  <c:v>Samoa</c:v>
                </c:pt>
                <c:pt idx="1">
                  <c:v>Tonga</c:v>
                </c:pt>
                <c:pt idx="2">
                  <c:v>Fiji</c:v>
                </c:pt>
              </c:strCache>
            </c:strRef>
          </c:cat>
          <c:val>
            <c:numRef>
              <c:f>'Budget 2020-21 workings'!$D$10:$D$12</c:f>
              <c:numCache>
                <c:formatCode>General</c:formatCode>
                <c:ptCount val="3"/>
                <c:pt idx="0">
                  <c:v>-3.3</c:v>
                </c:pt>
                <c:pt idx="1">
                  <c:v>-2.9</c:v>
                </c:pt>
                <c:pt idx="2">
                  <c:v>-1.3</c:v>
                </c:pt>
              </c:numCache>
            </c:numRef>
          </c:val>
          <c:extLst>
            <c:ext xmlns:c16="http://schemas.microsoft.com/office/drawing/2014/chart" uri="{C3380CC4-5D6E-409C-BE32-E72D297353CC}">
              <c16:uniqueId val="{00000001-8D0D-4576-A5F1-69028F4246F0}"/>
            </c:ext>
          </c:extLst>
        </c:ser>
        <c:ser>
          <c:idx val="2"/>
          <c:order val="2"/>
          <c:tx>
            <c:strRef>
              <c:f>'Budget 2020-21 workings'!$E$9</c:f>
              <c:strCache>
                <c:ptCount val="1"/>
                <c:pt idx="0">
                  <c:v>20/21</c:v>
                </c:pt>
              </c:strCache>
            </c:strRef>
          </c:tx>
          <c:spPr>
            <a:solidFill>
              <a:schemeClr val="accent3"/>
            </a:solidFill>
            <a:ln>
              <a:noFill/>
            </a:ln>
            <a:effectLst/>
          </c:spPr>
          <c:invertIfNegative val="0"/>
          <c:cat>
            <c:strRef>
              <c:f>'Budget 2020-21 workings'!$B$10:$B$12</c:f>
              <c:strCache>
                <c:ptCount val="3"/>
                <c:pt idx="0">
                  <c:v>Samoa</c:v>
                </c:pt>
                <c:pt idx="1">
                  <c:v>Tonga</c:v>
                </c:pt>
                <c:pt idx="2">
                  <c:v>Fiji</c:v>
                </c:pt>
              </c:strCache>
            </c:strRef>
          </c:cat>
          <c:val>
            <c:numRef>
              <c:f>'Budget 2020-21 workings'!$E$10:$E$12</c:f>
              <c:numCache>
                <c:formatCode>General</c:formatCode>
                <c:ptCount val="3"/>
                <c:pt idx="0">
                  <c:v>-2</c:v>
                </c:pt>
                <c:pt idx="1">
                  <c:v>-5.8</c:v>
                </c:pt>
                <c:pt idx="2">
                  <c:v>-21.7</c:v>
                </c:pt>
              </c:numCache>
            </c:numRef>
          </c:val>
          <c:extLst>
            <c:ext xmlns:c16="http://schemas.microsoft.com/office/drawing/2014/chart" uri="{C3380CC4-5D6E-409C-BE32-E72D297353CC}">
              <c16:uniqueId val="{00000002-8D0D-4576-A5F1-69028F4246F0}"/>
            </c:ext>
          </c:extLst>
        </c:ser>
        <c:dLbls>
          <c:showLegendKey val="0"/>
          <c:showVal val="0"/>
          <c:showCatName val="0"/>
          <c:showSerName val="0"/>
          <c:showPercent val="0"/>
          <c:showBubbleSize val="0"/>
        </c:dLbls>
        <c:gapWidth val="219"/>
        <c:overlap val="-27"/>
        <c:axId val="549521664"/>
        <c:axId val="549525928"/>
      </c:barChart>
      <c:catAx>
        <c:axId val="54952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525928"/>
        <c:crosses val="autoZero"/>
        <c:auto val="1"/>
        <c:lblAlgn val="ctr"/>
        <c:lblOffset val="500"/>
        <c:noMultiLvlLbl val="0"/>
      </c:catAx>
      <c:valAx>
        <c:axId val="549525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growth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52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workings'!$C$30</c:f>
              <c:strCache>
                <c:ptCount val="1"/>
                <c:pt idx="0">
                  <c:v>18/19</c:v>
                </c:pt>
              </c:strCache>
            </c:strRef>
          </c:tx>
          <c:spPr>
            <a:solidFill>
              <a:schemeClr val="accent1"/>
            </a:solidFill>
            <a:ln>
              <a:noFill/>
            </a:ln>
            <a:effectLst/>
          </c:spPr>
          <c:invertIfNegative val="0"/>
          <c:cat>
            <c:strRef>
              <c:f>'Budget 2020-21 workings'!$B$31:$B$33</c:f>
              <c:strCache>
                <c:ptCount val="3"/>
                <c:pt idx="0">
                  <c:v>Samoa</c:v>
                </c:pt>
                <c:pt idx="1">
                  <c:v>Tonga</c:v>
                </c:pt>
                <c:pt idx="2">
                  <c:v>Fiji</c:v>
                </c:pt>
              </c:strCache>
            </c:strRef>
          </c:cat>
          <c:val>
            <c:numRef>
              <c:f>'Budget 2020-21 workings'!$C$31:$C$33</c:f>
              <c:numCache>
                <c:formatCode>General</c:formatCode>
                <c:ptCount val="3"/>
                <c:pt idx="0">
                  <c:v>1</c:v>
                </c:pt>
                <c:pt idx="1">
                  <c:v>1</c:v>
                </c:pt>
                <c:pt idx="2">
                  <c:v>1</c:v>
                </c:pt>
              </c:numCache>
            </c:numRef>
          </c:val>
          <c:extLst>
            <c:ext xmlns:c16="http://schemas.microsoft.com/office/drawing/2014/chart" uri="{C3380CC4-5D6E-409C-BE32-E72D297353CC}">
              <c16:uniqueId val="{00000000-AD8E-4BBD-9DED-6FE79B6ED2A9}"/>
            </c:ext>
          </c:extLst>
        </c:ser>
        <c:ser>
          <c:idx val="1"/>
          <c:order val="1"/>
          <c:tx>
            <c:strRef>
              <c:f>'Budget 2020-21 workings'!$D$30</c:f>
              <c:strCache>
                <c:ptCount val="1"/>
                <c:pt idx="0">
                  <c:v>19/20</c:v>
                </c:pt>
              </c:strCache>
            </c:strRef>
          </c:tx>
          <c:spPr>
            <a:solidFill>
              <a:schemeClr val="accent2"/>
            </a:solidFill>
            <a:ln>
              <a:noFill/>
            </a:ln>
            <a:effectLst/>
          </c:spPr>
          <c:invertIfNegative val="0"/>
          <c:cat>
            <c:strRef>
              <c:f>'Budget 2020-21 workings'!$B$31:$B$33</c:f>
              <c:strCache>
                <c:ptCount val="3"/>
                <c:pt idx="0">
                  <c:v>Samoa</c:v>
                </c:pt>
                <c:pt idx="1">
                  <c:v>Tonga</c:v>
                </c:pt>
                <c:pt idx="2">
                  <c:v>Fiji</c:v>
                </c:pt>
              </c:strCache>
            </c:strRef>
          </c:cat>
          <c:val>
            <c:numRef>
              <c:f>'Budget 2020-21 workings'!$D$31:$D$33</c:f>
              <c:numCache>
                <c:formatCode>General</c:formatCode>
                <c:ptCount val="3"/>
                <c:pt idx="0">
                  <c:v>0.9883670077844835</c:v>
                </c:pt>
                <c:pt idx="1">
                  <c:v>0.977063958464084</c:v>
                </c:pt>
                <c:pt idx="2">
                  <c:v>0.97030759253807974</c:v>
                </c:pt>
              </c:numCache>
            </c:numRef>
          </c:val>
          <c:extLst>
            <c:ext xmlns:c16="http://schemas.microsoft.com/office/drawing/2014/chart" uri="{C3380CC4-5D6E-409C-BE32-E72D297353CC}">
              <c16:uniqueId val="{00000001-AD8E-4BBD-9DED-6FE79B6ED2A9}"/>
            </c:ext>
          </c:extLst>
        </c:ser>
        <c:ser>
          <c:idx val="2"/>
          <c:order val="2"/>
          <c:tx>
            <c:strRef>
              <c:f>'Budget 2020-21 workings'!$E$30</c:f>
              <c:strCache>
                <c:ptCount val="1"/>
                <c:pt idx="0">
                  <c:v>20/21</c:v>
                </c:pt>
              </c:strCache>
            </c:strRef>
          </c:tx>
          <c:spPr>
            <a:solidFill>
              <a:schemeClr val="accent3"/>
            </a:solidFill>
            <a:ln>
              <a:noFill/>
            </a:ln>
            <a:effectLst/>
          </c:spPr>
          <c:invertIfNegative val="0"/>
          <c:cat>
            <c:strRef>
              <c:f>'Budget 2020-21 workings'!$B$31:$B$33</c:f>
              <c:strCache>
                <c:ptCount val="3"/>
                <c:pt idx="0">
                  <c:v>Samoa</c:v>
                </c:pt>
                <c:pt idx="1">
                  <c:v>Tonga</c:v>
                </c:pt>
                <c:pt idx="2">
                  <c:v>Fiji</c:v>
                </c:pt>
              </c:strCache>
            </c:strRef>
          </c:cat>
          <c:val>
            <c:numRef>
              <c:f>'Budget 2020-21 workings'!$E$31:$E$33</c:f>
              <c:numCache>
                <c:formatCode>General</c:formatCode>
                <c:ptCount val="3"/>
                <c:pt idx="0">
                  <c:v>0.9243499855868107</c:v>
                </c:pt>
                <c:pt idx="1">
                  <c:v>1.1535311693244557</c:v>
                </c:pt>
                <c:pt idx="2">
                  <c:v>0.9950151198135625</c:v>
                </c:pt>
              </c:numCache>
            </c:numRef>
          </c:val>
          <c:extLst>
            <c:ext xmlns:c16="http://schemas.microsoft.com/office/drawing/2014/chart" uri="{C3380CC4-5D6E-409C-BE32-E72D297353CC}">
              <c16:uniqueId val="{00000002-AD8E-4BBD-9DED-6FE79B6ED2A9}"/>
            </c:ext>
          </c:extLst>
        </c:ser>
        <c:dLbls>
          <c:showLegendKey val="0"/>
          <c:showVal val="0"/>
          <c:showCatName val="0"/>
          <c:showSerName val="0"/>
          <c:showPercent val="0"/>
          <c:showBubbleSize val="0"/>
        </c:dLbls>
        <c:gapWidth val="219"/>
        <c:overlap val="-27"/>
        <c:axId val="554388480"/>
        <c:axId val="554380936"/>
      </c:barChart>
      <c:catAx>
        <c:axId val="55438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380936"/>
        <c:crosses val="autoZero"/>
        <c:auto val="1"/>
        <c:lblAlgn val="ctr"/>
        <c:lblOffset val="100"/>
        <c:noMultiLvlLbl val="0"/>
      </c:catAx>
      <c:valAx>
        <c:axId val="554380936"/>
        <c:scaling>
          <c:orientation val="minMax"/>
          <c:max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Expenditure relative to 2018/19 (=1)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388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workings'!$C$14</c:f>
              <c:strCache>
                <c:ptCount val="1"/>
                <c:pt idx="0">
                  <c:v>18/19</c:v>
                </c:pt>
              </c:strCache>
            </c:strRef>
          </c:tx>
          <c:spPr>
            <a:solidFill>
              <a:schemeClr val="accent1"/>
            </a:solidFill>
            <a:ln>
              <a:noFill/>
            </a:ln>
            <a:effectLst/>
          </c:spPr>
          <c:invertIfNegative val="0"/>
          <c:cat>
            <c:strRef>
              <c:f>'Budget 2020-21 workings'!$B$15:$B$17</c:f>
              <c:strCache>
                <c:ptCount val="3"/>
                <c:pt idx="0">
                  <c:v>Samoa</c:v>
                </c:pt>
                <c:pt idx="1">
                  <c:v>Tonga</c:v>
                </c:pt>
                <c:pt idx="2">
                  <c:v>Fiji</c:v>
                </c:pt>
              </c:strCache>
            </c:strRef>
          </c:cat>
          <c:val>
            <c:numRef>
              <c:f>'Budget 2020-21 workings'!$C$15:$C$17</c:f>
              <c:numCache>
                <c:formatCode>General</c:formatCode>
                <c:ptCount val="3"/>
                <c:pt idx="0">
                  <c:v>1</c:v>
                </c:pt>
                <c:pt idx="1">
                  <c:v>1</c:v>
                </c:pt>
                <c:pt idx="2">
                  <c:v>1</c:v>
                </c:pt>
              </c:numCache>
            </c:numRef>
          </c:val>
          <c:extLst>
            <c:ext xmlns:c16="http://schemas.microsoft.com/office/drawing/2014/chart" uri="{C3380CC4-5D6E-409C-BE32-E72D297353CC}">
              <c16:uniqueId val="{00000000-0A58-4888-A805-818E1C613F7C}"/>
            </c:ext>
          </c:extLst>
        </c:ser>
        <c:ser>
          <c:idx val="1"/>
          <c:order val="1"/>
          <c:tx>
            <c:strRef>
              <c:f>'Budget 2020-21 workings'!$D$14</c:f>
              <c:strCache>
                <c:ptCount val="1"/>
                <c:pt idx="0">
                  <c:v>19/20</c:v>
                </c:pt>
              </c:strCache>
            </c:strRef>
          </c:tx>
          <c:spPr>
            <a:solidFill>
              <a:schemeClr val="accent2"/>
            </a:solidFill>
            <a:ln>
              <a:noFill/>
            </a:ln>
            <a:effectLst/>
          </c:spPr>
          <c:invertIfNegative val="0"/>
          <c:cat>
            <c:strRef>
              <c:f>'Budget 2020-21 workings'!$B$15:$B$17</c:f>
              <c:strCache>
                <c:ptCount val="3"/>
                <c:pt idx="0">
                  <c:v>Samoa</c:v>
                </c:pt>
                <c:pt idx="1">
                  <c:v>Tonga</c:v>
                </c:pt>
                <c:pt idx="2">
                  <c:v>Fiji</c:v>
                </c:pt>
              </c:strCache>
            </c:strRef>
          </c:cat>
          <c:val>
            <c:numRef>
              <c:f>'Budget 2020-21 workings'!$D$15:$D$17</c:f>
              <c:numCache>
                <c:formatCode>General</c:formatCode>
                <c:ptCount val="3"/>
                <c:pt idx="0">
                  <c:v>0.96650879964542902</c:v>
                </c:pt>
                <c:pt idx="1">
                  <c:v>0.88456954327828519</c:v>
                </c:pt>
                <c:pt idx="2">
                  <c:v>0.85141434755274503</c:v>
                </c:pt>
              </c:numCache>
            </c:numRef>
          </c:val>
          <c:extLst>
            <c:ext xmlns:c16="http://schemas.microsoft.com/office/drawing/2014/chart" uri="{C3380CC4-5D6E-409C-BE32-E72D297353CC}">
              <c16:uniqueId val="{00000001-0A58-4888-A805-818E1C613F7C}"/>
            </c:ext>
          </c:extLst>
        </c:ser>
        <c:ser>
          <c:idx val="2"/>
          <c:order val="2"/>
          <c:tx>
            <c:strRef>
              <c:f>'Budget 2020-21 workings'!$E$14</c:f>
              <c:strCache>
                <c:ptCount val="1"/>
                <c:pt idx="0">
                  <c:v>20/21</c:v>
                </c:pt>
              </c:strCache>
            </c:strRef>
          </c:tx>
          <c:spPr>
            <a:solidFill>
              <a:schemeClr val="accent3"/>
            </a:solidFill>
            <a:ln>
              <a:noFill/>
            </a:ln>
            <a:effectLst/>
          </c:spPr>
          <c:invertIfNegative val="0"/>
          <c:cat>
            <c:strRef>
              <c:f>'Budget 2020-21 workings'!$B$15:$B$17</c:f>
              <c:strCache>
                <c:ptCount val="3"/>
                <c:pt idx="0">
                  <c:v>Samoa</c:v>
                </c:pt>
                <c:pt idx="1">
                  <c:v>Tonga</c:v>
                </c:pt>
                <c:pt idx="2">
                  <c:v>Fiji</c:v>
                </c:pt>
              </c:strCache>
            </c:strRef>
          </c:cat>
          <c:val>
            <c:numRef>
              <c:f>'Budget 2020-21 workings'!$E$15:$E$17</c:f>
              <c:numCache>
                <c:formatCode>General</c:formatCode>
                <c:ptCount val="3"/>
                <c:pt idx="0">
                  <c:v>0.83795072873231902</c:v>
                </c:pt>
                <c:pt idx="1">
                  <c:v>0.91420460680210469</c:v>
                </c:pt>
                <c:pt idx="2">
                  <c:v>0.49393614443435574</c:v>
                </c:pt>
              </c:numCache>
            </c:numRef>
          </c:val>
          <c:extLst>
            <c:ext xmlns:c16="http://schemas.microsoft.com/office/drawing/2014/chart" uri="{C3380CC4-5D6E-409C-BE32-E72D297353CC}">
              <c16:uniqueId val="{00000002-0A58-4888-A805-818E1C613F7C}"/>
            </c:ext>
          </c:extLst>
        </c:ser>
        <c:dLbls>
          <c:showLegendKey val="0"/>
          <c:showVal val="0"/>
          <c:showCatName val="0"/>
          <c:showSerName val="0"/>
          <c:showPercent val="0"/>
          <c:showBubbleSize val="0"/>
        </c:dLbls>
        <c:gapWidth val="219"/>
        <c:overlap val="-27"/>
        <c:axId val="194815224"/>
        <c:axId val="194814568"/>
      </c:barChart>
      <c:catAx>
        <c:axId val="194815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14568"/>
        <c:crosses val="autoZero"/>
        <c:auto val="1"/>
        <c:lblAlgn val="ctr"/>
        <c:lblOffset val="100"/>
        <c:noMultiLvlLbl val="0"/>
      </c:catAx>
      <c:valAx>
        <c:axId val="194814568"/>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Revenue excl. foreign aid relative to 2018/19 (=1)</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1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workings'!$C$18</c:f>
              <c:strCache>
                <c:ptCount val="1"/>
                <c:pt idx="0">
                  <c:v>18/19</c:v>
                </c:pt>
              </c:strCache>
            </c:strRef>
          </c:tx>
          <c:spPr>
            <a:solidFill>
              <a:schemeClr val="accent1"/>
            </a:solidFill>
            <a:ln>
              <a:noFill/>
            </a:ln>
            <a:effectLst/>
          </c:spPr>
          <c:invertIfNegative val="0"/>
          <c:cat>
            <c:strRef>
              <c:f>'Budget 2020-21 workings'!$B$19:$B$21</c:f>
              <c:strCache>
                <c:ptCount val="3"/>
                <c:pt idx="0">
                  <c:v>Samoa</c:v>
                </c:pt>
                <c:pt idx="1">
                  <c:v>Tonga</c:v>
                </c:pt>
                <c:pt idx="2">
                  <c:v>Fiji</c:v>
                </c:pt>
              </c:strCache>
            </c:strRef>
          </c:cat>
          <c:val>
            <c:numRef>
              <c:f>'Budget 2020-21 workings'!$C$19:$C$21</c:f>
              <c:numCache>
                <c:formatCode>0.00</c:formatCode>
                <c:ptCount val="3"/>
                <c:pt idx="0">
                  <c:v>0.38682344803735086</c:v>
                </c:pt>
                <c:pt idx="1">
                  <c:v>0.77924459112577926</c:v>
                </c:pt>
                <c:pt idx="2">
                  <c:v>4.042243262927895E-2</c:v>
                </c:pt>
              </c:numCache>
            </c:numRef>
          </c:val>
          <c:extLst>
            <c:ext xmlns:c16="http://schemas.microsoft.com/office/drawing/2014/chart" uri="{C3380CC4-5D6E-409C-BE32-E72D297353CC}">
              <c16:uniqueId val="{00000000-C40C-43DB-9986-BBC286B2A319}"/>
            </c:ext>
          </c:extLst>
        </c:ser>
        <c:ser>
          <c:idx val="1"/>
          <c:order val="1"/>
          <c:tx>
            <c:strRef>
              <c:f>'Budget 2020-21 workings'!$D$18</c:f>
              <c:strCache>
                <c:ptCount val="1"/>
                <c:pt idx="0">
                  <c:v>19/20</c:v>
                </c:pt>
              </c:strCache>
            </c:strRef>
          </c:tx>
          <c:spPr>
            <a:solidFill>
              <a:schemeClr val="accent2"/>
            </a:solidFill>
            <a:ln>
              <a:noFill/>
            </a:ln>
            <a:effectLst/>
          </c:spPr>
          <c:invertIfNegative val="0"/>
          <c:cat>
            <c:strRef>
              <c:f>'Budget 2020-21 workings'!$B$19:$B$21</c:f>
              <c:strCache>
                <c:ptCount val="3"/>
                <c:pt idx="0">
                  <c:v>Samoa</c:v>
                </c:pt>
                <c:pt idx="1">
                  <c:v>Tonga</c:v>
                </c:pt>
                <c:pt idx="2">
                  <c:v>Fiji</c:v>
                </c:pt>
              </c:strCache>
            </c:strRef>
          </c:cat>
          <c:val>
            <c:numRef>
              <c:f>'Budget 2020-21 workings'!$D$19:$D$21</c:f>
              <c:numCache>
                <c:formatCode>0.00</c:formatCode>
                <c:ptCount val="3"/>
                <c:pt idx="0">
                  <c:v>0.38579767614820137</c:v>
                </c:pt>
                <c:pt idx="1">
                  <c:v>0.66369391546332146</c:v>
                </c:pt>
                <c:pt idx="2">
                  <c:v>1.8323026767352629E-2</c:v>
                </c:pt>
              </c:numCache>
            </c:numRef>
          </c:val>
          <c:extLst>
            <c:ext xmlns:c16="http://schemas.microsoft.com/office/drawing/2014/chart" uri="{C3380CC4-5D6E-409C-BE32-E72D297353CC}">
              <c16:uniqueId val="{00000001-C40C-43DB-9986-BBC286B2A319}"/>
            </c:ext>
          </c:extLst>
        </c:ser>
        <c:ser>
          <c:idx val="2"/>
          <c:order val="2"/>
          <c:tx>
            <c:strRef>
              <c:f>'Budget 2020-21 workings'!$E$18</c:f>
              <c:strCache>
                <c:ptCount val="1"/>
                <c:pt idx="0">
                  <c:v>20/21</c:v>
                </c:pt>
              </c:strCache>
            </c:strRef>
          </c:tx>
          <c:spPr>
            <a:solidFill>
              <a:schemeClr val="accent3"/>
            </a:solidFill>
            <a:ln>
              <a:noFill/>
            </a:ln>
            <a:effectLst/>
          </c:spPr>
          <c:invertIfNegative val="0"/>
          <c:cat>
            <c:strRef>
              <c:f>'Budget 2020-21 workings'!$B$19:$B$21</c:f>
              <c:strCache>
                <c:ptCount val="3"/>
                <c:pt idx="0">
                  <c:v>Samoa</c:v>
                </c:pt>
                <c:pt idx="1">
                  <c:v>Tonga</c:v>
                </c:pt>
                <c:pt idx="2">
                  <c:v>Fiji</c:v>
                </c:pt>
              </c:strCache>
            </c:strRef>
          </c:cat>
          <c:val>
            <c:numRef>
              <c:f>'Budget 2020-21 workings'!$E$19:$E$21</c:f>
              <c:numCache>
                <c:formatCode>0.00</c:formatCode>
                <c:ptCount val="3"/>
                <c:pt idx="0">
                  <c:v>0.40762522294209086</c:v>
                </c:pt>
                <c:pt idx="1">
                  <c:v>0.85521253594808211</c:v>
                </c:pt>
                <c:pt idx="2">
                  <c:v>3.2584269213994148E-2</c:v>
                </c:pt>
              </c:numCache>
            </c:numRef>
          </c:val>
          <c:extLst>
            <c:ext xmlns:c16="http://schemas.microsoft.com/office/drawing/2014/chart" uri="{C3380CC4-5D6E-409C-BE32-E72D297353CC}">
              <c16:uniqueId val="{00000002-C40C-43DB-9986-BBC286B2A319}"/>
            </c:ext>
          </c:extLst>
        </c:ser>
        <c:dLbls>
          <c:showLegendKey val="0"/>
          <c:showVal val="0"/>
          <c:showCatName val="0"/>
          <c:showSerName val="0"/>
          <c:showPercent val="0"/>
          <c:showBubbleSize val="0"/>
        </c:dLbls>
        <c:gapWidth val="219"/>
        <c:overlap val="-27"/>
        <c:axId val="194820144"/>
        <c:axId val="194820472"/>
      </c:barChart>
      <c:catAx>
        <c:axId val="19482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20472"/>
        <c:crosses val="autoZero"/>
        <c:auto val="1"/>
        <c:lblAlgn val="ctr"/>
        <c:lblOffset val="100"/>
        <c:noMultiLvlLbl val="0"/>
      </c:catAx>
      <c:valAx>
        <c:axId val="1948204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Foreign aid (grants) relative to 2018/19 own-revenue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4820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'Budget 2020-21 workings'!$C$22</c:f>
              <c:strCache>
                <c:ptCount val="1"/>
                <c:pt idx="0">
                  <c:v>18/19</c:v>
                </c:pt>
              </c:strCache>
            </c:strRef>
          </c:tx>
          <c:spPr>
            <a:solidFill>
              <a:schemeClr val="accent1"/>
            </a:solidFill>
            <a:ln>
              <a:noFill/>
            </a:ln>
            <a:effectLst/>
          </c:spPr>
          <c:invertIfNegative val="0"/>
          <c:cat>
            <c:strRef>
              <c:f>'Budget 2020-21 workings'!$B$23:$B$25</c:f>
              <c:strCache>
                <c:ptCount val="3"/>
                <c:pt idx="0">
                  <c:v>Samoa</c:v>
                </c:pt>
                <c:pt idx="1">
                  <c:v>Tonga</c:v>
                </c:pt>
                <c:pt idx="2">
                  <c:v>Fiji</c:v>
                </c:pt>
              </c:strCache>
            </c:strRef>
          </c:cat>
          <c:val>
            <c:numRef>
              <c:f>'Budget 2020-21 workings'!$C$23:$C$25</c:f>
              <c:numCache>
                <c:formatCode>0.0%</c:formatCode>
                <c:ptCount val="3"/>
                <c:pt idx="0">
                  <c:v>-2.7000000000000003E-2</c:v>
                </c:pt>
                <c:pt idx="1">
                  <c:v>-3.3601033877965508E-2</c:v>
                </c:pt>
                <c:pt idx="2">
                  <c:v>3.6026435428286617E-2</c:v>
                </c:pt>
              </c:numCache>
            </c:numRef>
          </c:val>
          <c:extLst>
            <c:ext xmlns:c16="http://schemas.microsoft.com/office/drawing/2014/chart" uri="{C3380CC4-5D6E-409C-BE32-E72D297353CC}">
              <c16:uniqueId val="{00000000-E287-4459-B595-0267202954D3}"/>
            </c:ext>
          </c:extLst>
        </c:ser>
        <c:ser>
          <c:idx val="1"/>
          <c:order val="1"/>
          <c:tx>
            <c:strRef>
              <c:f>'Budget 2020-21 workings'!$D$22</c:f>
              <c:strCache>
                <c:ptCount val="1"/>
                <c:pt idx="0">
                  <c:v>19/20</c:v>
                </c:pt>
              </c:strCache>
            </c:strRef>
          </c:tx>
          <c:spPr>
            <a:solidFill>
              <a:schemeClr val="accent2"/>
            </a:solidFill>
            <a:ln>
              <a:noFill/>
            </a:ln>
            <a:effectLst/>
          </c:spPr>
          <c:invertIfNegative val="0"/>
          <c:cat>
            <c:strRef>
              <c:f>'Budget 2020-21 workings'!$B$23:$B$25</c:f>
              <c:strCache>
                <c:ptCount val="3"/>
                <c:pt idx="0">
                  <c:v>Samoa</c:v>
                </c:pt>
                <c:pt idx="1">
                  <c:v>Tonga</c:v>
                </c:pt>
                <c:pt idx="2">
                  <c:v>Fiji</c:v>
                </c:pt>
              </c:strCache>
            </c:strRef>
          </c:cat>
          <c:val>
            <c:numRef>
              <c:f>'Budget 2020-21 workings'!$D$23:$D$25</c:f>
              <c:numCache>
                <c:formatCode>0.0%</c:formatCode>
                <c:ptCount val="3"/>
                <c:pt idx="0">
                  <c:v>1.6E-2</c:v>
                </c:pt>
                <c:pt idx="1">
                  <c:v>1.572970960536111E-2</c:v>
                </c:pt>
                <c:pt idx="2">
                  <c:v>8.1968496999481125E-2</c:v>
                </c:pt>
              </c:numCache>
            </c:numRef>
          </c:val>
          <c:extLst>
            <c:ext xmlns:c16="http://schemas.microsoft.com/office/drawing/2014/chart" uri="{C3380CC4-5D6E-409C-BE32-E72D297353CC}">
              <c16:uniqueId val="{00000001-E287-4459-B595-0267202954D3}"/>
            </c:ext>
          </c:extLst>
        </c:ser>
        <c:ser>
          <c:idx val="2"/>
          <c:order val="2"/>
          <c:tx>
            <c:strRef>
              <c:f>'Budget 2020-21 workings'!$E$22</c:f>
              <c:strCache>
                <c:ptCount val="1"/>
                <c:pt idx="0">
                  <c:v>20/21</c:v>
                </c:pt>
              </c:strCache>
            </c:strRef>
          </c:tx>
          <c:spPr>
            <a:solidFill>
              <a:schemeClr val="accent3"/>
            </a:solidFill>
            <a:ln>
              <a:noFill/>
            </a:ln>
            <a:effectLst/>
          </c:spPr>
          <c:invertIfNegative val="0"/>
          <c:cat>
            <c:strRef>
              <c:f>'Budget 2020-21 workings'!$B$23:$B$25</c:f>
              <c:strCache>
                <c:ptCount val="3"/>
                <c:pt idx="0">
                  <c:v>Samoa</c:v>
                </c:pt>
                <c:pt idx="1">
                  <c:v>Tonga</c:v>
                </c:pt>
                <c:pt idx="2">
                  <c:v>Fiji</c:v>
                </c:pt>
              </c:strCache>
            </c:strRef>
          </c:cat>
          <c:val>
            <c:numRef>
              <c:f>'Budget 2020-21 workings'!$E$23:$E$25</c:f>
              <c:numCache>
                <c:formatCode>0.0%</c:formatCode>
                <c:ptCount val="3"/>
                <c:pt idx="0">
                  <c:v>2.3E-2</c:v>
                </c:pt>
                <c:pt idx="1">
                  <c:v>3.6275460717749737E-2</c:v>
                </c:pt>
                <c:pt idx="2">
                  <c:v>0.2020029681079826</c:v>
                </c:pt>
              </c:numCache>
            </c:numRef>
          </c:val>
          <c:extLst>
            <c:ext xmlns:c16="http://schemas.microsoft.com/office/drawing/2014/chart" uri="{C3380CC4-5D6E-409C-BE32-E72D297353CC}">
              <c16:uniqueId val="{00000002-E287-4459-B595-0267202954D3}"/>
            </c:ext>
          </c:extLst>
        </c:ser>
        <c:dLbls>
          <c:showLegendKey val="0"/>
          <c:showVal val="0"/>
          <c:showCatName val="0"/>
          <c:showSerName val="0"/>
          <c:showPercent val="0"/>
          <c:showBubbleSize val="0"/>
        </c:dLbls>
        <c:gapWidth val="219"/>
        <c:overlap val="-27"/>
        <c:axId val="546777608"/>
        <c:axId val="546776296"/>
      </c:barChart>
      <c:catAx>
        <c:axId val="546777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776296"/>
        <c:crosses val="autoZero"/>
        <c:auto val="1"/>
        <c:lblAlgn val="ctr"/>
        <c:lblOffset val="100"/>
        <c:noMultiLvlLbl val="0"/>
      </c:catAx>
      <c:valAx>
        <c:axId val="5467762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6777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rgbClr val="00B050"/>
              </a:solidFill>
              <a:ln>
                <a:noFill/>
              </a:ln>
              <a:effectLst/>
            </c:spPr>
            <c:extLst>
              <c:ext xmlns:c16="http://schemas.microsoft.com/office/drawing/2014/chart" uri="{C3380CC4-5D6E-409C-BE32-E72D297353CC}">
                <c16:uniqueId val="{00000014-D113-4E1B-B125-6991C34D8009}"/>
              </c:ext>
            </c:extLst>
          </c:dPt>
          <c:dPt>
            <c:idx val="8"/>
            <c:invertIfNegative val="0"/>
            <c:bubble3D val="0"/>
            <c:spPr>
              <a:solidFill>
                <a:srgbClr val="00B050"/>
              </a:solidFill>
              <a:ln>
                <a:noFill/>
              </a:ln>
              <a:effectLst/>
            </c:spPr>
            <c:extLst>
              <c:ext xmlns:c16="http://schemas.microsoft.com/office/drawing/2014/chart" uri="{C3380CC4-5D6E-409C-BE32-E72D297353CC}">
                <c16:uniqueId val="{00000015-D113-4E1B-B125-6991C34D8009}"/>
              </c:ext>
            </c:extLst>
          </c:dPt>
          <c:dPt>
            <c:idx val="9"/>
            <c:invertIfNegative val="0"/>
            <c:bubble3D val="0"/>
            <c:spPr>
              <a:solidFill>
                <a:srgbClr val="00B050"/>
              </a:solidFill>
              <a:ln>
                <a:noFill/>
              </a:ln>
              <a:effectLst/>
            </c:spPr>
            <c:extLst>
              <c:ext xmlns:c16="http://schemas.microsoft.com/office/drawing/2014/chart" uri="{C3380CC4-5D6E-409C-BE32-E72D297353CC}">
                <c16:uniqueId val="{00000016-D113-4E1B-B125-6991C34D800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'Expenditure,external assistance'!$N$28:$N$37</c:f>
              <c:strCache>
                <c:ptCount val="10"/>
                <c:pt idx="0">
                  <c:v>PNG</c:v>
                </c:pt>
                <c:pt idx="1">
                  <c:v>Fiji</c:v>
                </c:pt>
                <c:pt idx="2">
                  <c:v>Samoa</c:v>
                </c:pt>
                <c:pt idx="3">
                  <c:v>Solomon Islands</c:v>
                </c:pt>
                <c:pt idx="4">
                  <c:v>Vanuatu</c:v>
                </c:pt>
                <c:pt idx="5">
                  <c:v>Tonga</c:v>
                </c:pt>
                <c:pt idx="6">
                  <c:v>TL</c:v>
                </c:pt>
                <c:pt idx="7">
                  <c:v>Developing</c:v>
                </c:pt>
                <c:pt idx="8">
                  <c:v>Developed</c:v>
                </c:pt>
                <c:pt idx="9">
                  <c:v>Australia</c:v>
                </c:pt>
              </c:strCache>
            </c:strRef>
          </c:cat>
          <c:val>
            <c:numRef>
              <c:f>'Expenditure,external assistance'!$O$28:$O$37</c:f>
              <c:numCache>
                <c:formatCode>General</c:formatCode>
                <c:ptCount val="10"/>
                <c:pt idx="0">
                  <c:v>6.4780824875836753E-3</c:v>
                </c:pt>
                <c:pt idx="1">
                  <c:v>7.701668181328075E-3</c:v>
                </c:pt>
                <c:pt idx="2">
                  <c:v>1.5907207953603977E-2</c:v>
                </c:pt>
                <c:pt idx="3" formatCode="0.00%">
                  <c:v>3.5834307655939535E-2</c:v>
                </c:pt>
                <c:pt idx="4">
                  <c:v>3.6694682765730659E-2</c:v>
                </c:pt>
                <c:pt idx="5">
                  <c:v>5.9678749292558154E-2</c:v>
                </c:pt>
                <c:pt idx="6">
                  <c:v>8.2735797021511306E-2</c:v>
                </c:pt>
                <c:pt idx="7">
                  <c:v>1.0725116279069769E-2</c:v>
                </c:pt>
                <c:pt idx="8">
                  <c:v>4.1514285714285726E-2</c:v>
                </c:pt>
                <c:pt idx="9">
                  <c:v>9.5000000000000001E-2</c:v>
                </c:pt>
              </c:numCache>
            </c:numRef>
          </c:val>
          <c:extLst xmlns:c15="http://schemas.microsoft.com/office/drawing/2012/chart">
            <c:ext xmlns:c16="http://schemas.microsoft.com/office/drawing/2014/chart" uri="{C3380CC4-5D6E-409C-BE32-E72D297353CC}">
              <c16:uniqueId val="{00000000-5FA0-47BB-8B03-3D98F00565E6}"/>
            </c:ext>
          </c:extLst>
        </c:ser>
        <c:dLbls>
          <c:dLblPos val="outEnd"/>
          <c:showLegendKey val="0"/>
          <c:showVal val="1"/>
          <c:showCatName val="0"/>
          <c:showSerName val="0"/>
          <c:showPercent val="0"/>
          <c:showBubbleSize val="0"/>
        </c:dLbls>
        <c:gapWidth val="219"/>
        <c:overlap val="-27"/>
        <c:axId val="594950424"/>
        <c:axId val="594951408"/>
        <c:extLst/>
      </c:barChart>
      <c:catAx>
        <c:axId val="59495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4951408"/>
        <c:crosses val="autoZero"/>
        <c:auto val="1"/>
        <c:lblAlgn val="ctr"/>
        <c:lblOffset val="100"/>
        <c:noMultiLvlLbl val="0"/>
      </c:catAx>
      <c:valAx>
        <c:axId val="59495140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594950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External assistance announced to date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'Expenditure,external assistance'!$I$46</c:f>
              <c:strCache>
                <c:ptCount val="1"/>
                <c:pt idx="0">
                  <c:v>Million USD (lhs)</c:v>
                </c:pt>
              </c:strCache>
            </c:strRef>
          </c:tx>
          <c:spPr>
            <a:solidFill>
              <a:schemeClr val="accent1"/>
            </a:solidFill>
            <a:ln>
              <a:noFill/>
            </a:ln>
            <a:effectLst/>
          </c:spPr>
          <c:invertIfNegative val="0"/>
          <c:cat>
            <c:strRef>
              <c:f>'Expenditure,external assistance'!$J$45:$P$45</c:f>
              <c:strCache>
                <c:ptCount val="7"/>
                <c:pt idx="0">
                  <c:v>Tonga</c:v>
                </c:pt>
                <c:pt idx="1">
                  <c:v>Samoa</c:v>
                </c:pt>
                <c:pt idx="2">
                  <c:v>Vanuatu</c:v>
                </c:pt>
                <c:pt idx="3">
                  <c:v>Solomon Islands</c:v>
                </c:pt>
                <c:pt idx="4">
                  <c:v>Timor-Leste</c:v>
                </c:pt>
                <c:pt idx="5">
                  <c:v>PNG</c:v>
                </c:pt>
                <c:pt idx="6">
                  <c:v>Fiji</c:v>
                </c:pt>
              </c:strCache>
            </c:strRef>
          </c:cat>
          <c:val>
            <c:numRef>
              <c:f>'Expenditure,external assistance'!$J$46:$P$46</c:f>
              <c:numCache>
                <c:formatCode>0.00</c:formatCode>
                <c:ptCount val="7"/>
                <c:pt idx="0">
                  <c:v>41.590378999999999</c:v>
                </c:pt>
                <c:pt idx="1">
                  <c:v>63.620000000000005</c:v>
                </c:pt>
                <c:pt idx="2">
                  <c:v>37.892000000000003</c:v>
                </c:pt>
                <c:pt idx="3">
                  <c:v>112.086</c:v>
                </c:pt>
                <c:pt idx="4">
                  <c:v>11.64</c:v>
                </c:pt>
                <c:pt idx="5">
                  <c:v>424.73249499999997</c:v>
                </c:pt>
                <c:pt idx="6">
                  <c:v>291.57500299999998</c:v>
                </c:pt>
              </c:numCache>
            </c:numRef>
          </c:val>
          <c:extLst>
            <c:ext xmlns:c16="http://schemas.microsoft.com/office/drawing/2014/chart" uri="{C3380CC4-5D6E-409C-BE32-E72D297353CC}">
              <c16:uniqueId val="{00000000-35CE-466F-9206-8E11B039DF7B}"/>
            </c:ext>
          </c:extLst>
        </c:ser>
        <c:dLbls>
          <c:showLegendKey val="0"/>
          <c:showVal val="0"/>
          <c:showCatName val="0"/>
          <c:showSerName val="0"/>
          <c:showPercent val="0"/>
          <c:showBubbleSize val="0"/>
        </c:dLbls>
        <c:gapWidth val="219"/>
        <c:overlap val="-27"/>
        <c:axId val="597399896"/>
        <c:axId val="597395960"/>
      </c:barChart>
      <c:lineChart>
        <c:grouping val="standard"/>
        <c:varyColors val="0"/>
        <c:ser>
          <c:idx val="1"/>
          <c:order val="1"/>
          <c:tx>
            <c:strRef>
              <c:f>'Expenditure,external assistance'!$I$47</c:f>
              <c:strCache>
                <c:ptCount val="1"/>
                <c:pt idx="0">
                  <c:v>% GDP (rhs)</c:v>
                </c:pt>
              </c:strCache>
            </c:strRef>
          </c:tx>
          <c:spPr>
            <a:ln w="28575" cap="rnd">
              <a:solidFill>
                <a:schemeClr val="accent2"/>
              </a:solidFill>
              <a:round/>
            </a:ln>
            <a:effectLst/>
          </c:spPr>
          <c:marker>
            <c:symbol val="none"/>
          </c:marker>
          <c:cat>
            <c:strRef>
              <c:f>'Expenditure,external assistance'!$J$45:$P$45</c:f>
              <c:strCache>
                <c:ptCount val="7"/>
                <c:pt idx="0">
                  <c:v>Tonga</c:v>
                </c:pt>
                <c:pt idx="1">
                  <c:v>Samoa</c:v>
                </c:pt>
                <c:pt idx="2">
                  <c:v>Vanuatu</c:v>
                </c:pt>
                <c:pt idx="3">
                  <c:v>Solomon Islands</c:v>
                </c:pt>
                <c:pt idx="4">
                  <c:v>Timor-Leste</c:v>
                </c:pt>
                <c:pt idx="5">
                  <c:v>PNG</c:v>
                </c:pt>
                <c:pt idx="6">
                  <c:v>Fiji</c:v>
                </c:pt>
              </c:strCache>
            </c:strRef>
          </c:cat>
          <c:val>
            <c:numRef>
              <c:f>'Expenditure,external assistance'!$J$47:$P$47</c:f>
              <c:numCache>
                <c:formatCode>0.0%</c:formatCode>
                <c:ptCount val="7"/>
                <c:pt idx="0">
                  <c:v>9.3904671483404825E-2</c:v>
                </c:pt>
                <c:pt idx="1">
                  <c:v>6.904904722452361E-2</c:v>
                </c:pt>
                <c:pt idx="2" formatCode="0.00%">
                  <c:v>3.7783413653916728E-2</c:v>
                </c:pt>
                <c:pt idx="3" formatCode="0.00%">
                  <c:v>7.3043988269794732E-2</c:v>
                </c:pt>
                <c:pt idx="4" formatCode="0.00%">
                  <c:v>6.420297848869278E-3</c:v>
                </c:pt>
                <c:pt idx="5" formatCode="0.00%">
                  <c:v>1.5912564863420426E-2</c:v>
                </c:pt>
                <c:pt idx="6" formatCode="0.00%">
                  <c:v>4.7831576561513219E-2</c:v>
                </c:pt>
              </c:numCache>
            </c:numRef>
          </c:val>
          <c:smooth val="0"/>
          <c:extLst>
            <c:ext xmlns:c16="http://schemas.microsoft.com/office/drawing/2014/chart" uri="{C3380CC4-5D6E-409C-BE32-E72D297353CC}">
              <c16:uniqueId val="{00000001-35CE-466F-9206-8E11B039DF7B}"/>
            </c:ext>
          </c:extLst>
        </c:ser>
        <c:dLbls>
          <c:showLegendKey val="0"/>
          <c:showVal val="0"/>
          <c:showCatName val="0"/>
          <c:showSerName val="0"/>
          <c:showPercent val="0"/>
          <c:showBubbleSize val="0"/>
        </c:dLbls>
        <c:marker val="1"/>
        <c:smooth val="0"/>
        <c:axId val="597406784"/>
        <c:axId val="597403832"/>
      </c:lineChart>
      <c:catAx>
        <c:axId val="597399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395960"/>
        <c:crosses val="autoZero"/>
        <c:auto val="1"/>
        <c:lblAlgn val="ctr"/>
        <c:lblOffset val="100"/>
        <c:noMultiLvlLbl val="0"/>
      </c:catAx>
      <c:valAx>
        <c:axId val="5973959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399896"/>
        <c:crosses val="autoZero"/>
        <c:crossBetween val="between"/>
      </c:valAx>
      <c:valAx>
        <c:axId val="597403832"/>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7406784"/>
        <c:crosses val="max"/>
        <c:crossBetween val="between"/>
      </c:valAx>
      <c:catAx>
        <c:axId val="597406784"/>
        <c:scaling>
          <c:orientation val="minMax"/>
        </c:scaling>
        <c:delete val="1"/>
        <c:axPos val="b"/>
        <c:numFmt formatCode="General" sourceLinked="1"/>
        <c:majorTickMark val="none"/>
        <c:minorTickMark val="none"/>
        <c:tickLblPos val="nextTo"/>
        <c:crossAx val="597403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20</xdr:col>
      <xdr:colOff>0</xdr:colOff>
      <xdr:row>94</xdr:row>
      <xdr:rowOff>0</xdr:rowOff>
    </xdr:from>
    <xdr:to>
      <xdr:col>27</xdr:col>
      <xdr:colOff>304800</xdr:colOff>
      <xdr:row>108</xdr:row>
      <xdr:rowOff>76200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444500</xdr:colOff>
      <xdr:row>1</xdr:row>
      <xdr:rowOff>407458</xdr:rowOff>
    </xdr:from>
    <xdr:to>
      <xdr:col>17</xdr:col>
      <xdr:colOff>997657</xdr:colOff>
      <xdr:row>10</xdr:row>
      <xdr:rowOff>479777</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7</xdr:row>
      <xdr:rowOff>21167</xdr:rowOff>
    </xdr:from>
    <xdr:to>
      <xdr:col>8</xdr:col>
      <xdr:colOff>254000</xdr:colOff>
      <xdr:row>23</xdr:row>
      <xdr:rowOff>168275</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485775</xdr:colOff>
      <xdr:row>10</xdr:row>
      <xdr:rowOff>119062</xdr:rowOff>
    </xdr:from>
    <xdr:to>
      <xdr:col>16</xdr:col>
      <xdr:colOff>180975</xdr:colOff>
      <xdr:row>25</xdr:row>
      <xdr:rowOff>4762</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599722</xdr:colOff>
      <xdr:row>30</xdr:row>
      <xdr:rowOff>77612</xdr:rowOff>
    </xdr:from>
    <xdr:to>
      <xdr:col>15</xdr:col>
      <xdr:colOff>472722</xdr:colOff>
      <xdr:row>46</xdr:row>
      <xdr:rowOff>148167</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333375</xdr:colOff>
      <xdr:row>25</xdr:row>
      <xdr:rowOff>28575</xdr:rowOff>
    </xdr:from>
    <xdr:to>
      <xdr:col>22</xdr:col>
      <xdr:colOff>295275</xdr:colOff>
      <xdr:row>47</xdr:row>
      <xdr:rowOff>123825</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17</xdr:row>
      <xdr:rowOff>0</xdr:rowOff>
    </xdr:from>
    <xdr:to>
      <xdr:col>13</xdr:col>
      <xdr:colOff>304800</xdr:colOff>
      <xdr:row>31</xdr:row>
      <xdr:rowOff>76200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600075</xdr:colOff>
      <xdr:row>17</xdr:row>
      <xdr:rowOff>19050</xdr:rowOff>
    </xdr:from>
    <xdr:to>
      <xdr:col>21</xdr:col>
      <xdr:colOff>295275</xdr:colOff>
      <xdr:row>31</xdr:row>
      <xdr:rowOff>95250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35</xdr:row>
      <xdr:rowOff>0</xdr:rowOff>
    </xdr:from>
    <xdr:to>
      <xdr:col>13</xdr:col>
      <xdr:colOff>304800</xdr:colOff>
      <xdr:row>49</xdr:row>
      <xdr:rowOff>76200</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36</xdr:row>
      <xdr:rowOff>0</xdr:rowOff>
    </xdr:from>
    <xdr:to>
      <xdr:col>21</xdr:col>
      <xdr:colOff>304800</xdr:colOff>
      <xdr:row>50</xdr:row>
      <xdr:rowOff>76200</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53</xdr:row>
      <xdr:rowOff>0</xdr:rowOff>
    </xdr:from>
    <xdr:to>
      <xdr:col>13</xdr:col>
      <xdr:colOff>304800</xdr:colOff>
      <xdr:row>67</xdr:row>
      <xdr:rowOff>76200</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0</xdr:colOff>
      <xdr:row>53</xdr:row>
      <xdr:rowOff>0</xdr:rowOff>
    </xdr:from>
    <xdr:to>
      <xdr:col>21</xdr:col>
      <xdr:colOff>304800</xdr:colOff>
      <xdr:row>67</xdr:row>
      <xdr:rowOff>76200</xdr:rowOff>
    </xdr:to>
    <xdr:graphicFrame macro="">
      <xdr:nvGraphicFramePr>
        <xdr:cNvPr id="7" name="Chart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31353</xdr:colOff>
      <xdr:row>27</xdr:row>
      <xdr:rowOff>57546</xdr:rowOff>
    </xdr:from>
    <xdr:to>
      <xdr:col>26</xdr:col>
      <xdr:colOff>211137</xdr:colOff>
      <xdr:row>40</xdr:row>
      <xdr:rowOff>80169</xdr:rowOff>
    </xdr:to>
    <xdr:graphicFrame macro="">
      <xdr:nvGraphicFramePr>
        <xdr:cNvPr id="6" name="Chart 5">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1220390</xdr:colOff>
      <xdr:row>48</xdr:row>
      <xdr:rowOff>41670</xdr:rowOff>
    </xdr:from>
    <xdr:to>
      <xdr:col>12</xdr:col>
      <xdr:colOff>943770</xdr:colOff>
      <xdr:row>66</xdr:row>
      <xdr:rowOff>98424</xdr:rowOff>
    </xdr:to>
    <xdr:graphicFrame macro="">
      <xdr:nvGraphicFramePr>
        <xdr:cNvPr id="7" name="Chart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330595</xdr:colOff>
      <xdr:row>76</xdr:row>
      <xdr:rowOff>173434</xdr:rowOff>
    </xdr:from>
    <xdr:to>
      <xdr:col>11</xdr:col>
      <xdr:colOff>797720</xdr:colOff>
      <xdr:row>92</xdr:row>
      <xdr:rowOff>142875</xdr:rowOff>
    </xdr:to>
    <xdr:graphicFrame macro="">
      <xdr:nvGraphicFramePr>
        <xdr:cNvPr id="8" name="Chart 7">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11906</xdr:colOff>
      <xdr:row>57</xdr:row>
      <xdr:rowOff>23813</xdr:rowOff>
    </xdr:from>
    <xdr:to>
      <xdr:col>28</xdr:col>
      <xdr:colOff>544513</xdr:colOff>
      <xdr:row>78</xdr:row>
      <xdr:rowOff>142875</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1700893</xdr:colOff>
      <xdr:row>10</xdr:row>
      <xdr:rowOff>108857</xdr:rowOff>
    </xdr:from>
    <xdr:to>
      <xdr:col>8</xdr:col>
      <xdr:colOff>596446</xdr:colOff>
      <xdr:row>23</xdr:row>
      <xdr:rowOff>72571</xdr:rowOff>
    </xdr:to>
    <xdr:graphicFrame macro="">
      <xdr:nvGraphicFramePr>
        <xdr:cNvPr id="12" name="Chart 11">
          <a:extLst>
            <a:ext uri="{FF2B5EF4-FFF2-40B4-BE49-F238E27FC236}">
              <a16:creationId xmlns:a16="http://schemas.microsoft.com/office/drawing/2014/main" id="{00000000-0008-0000-0C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15875</xdr:colOff>
      <xdr:row>2</xdr:row>
      <xdr:rowOff>34925</xdr:rowOff>
    </xdr:from>
    <xdr:to>
      <xdr:col>25</xdr:col>
      <xdr:colOff>314325</xdr:colOff>
      <xdr:row>27</xdr:row>
      <xdr:rowOff>41274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76200</xdr:colOff>
      <xdr:row>0</xdr:row>
      <xdr:rowOff>76201</xdr:rowOff>
    </xdr:from>
    <xdr:to>
      <xdr:col>28</xdr:col>
      <xdr:colOff>532937</xdr:colOff>
      <xdr:row>22</xdr:row>
      <xdr:rowOff>161926</xdr:rowOff>
    </xdr:to>
    <xdr:graphicFrame macro="">
      <xdr:nvGraphicFramePr>
        <xdr:cNvPr id="5" name="Chart 4">
          <a:extLst>
            <a:ext uri="{FF2B5EF4-FFF2-40B4-BE49-F238E27FC236}">
              <a16:creationId xmlns:a16="http://schemas.microsoft.com/office/drawing/2014/main" id="{00000000-0008-0000-0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520699</xdr:colOff>
      <xdr:row>26</xdr:row>
      <xdr:rowOff>0</xdr:rowOff>
    </xdr:from>
    <xdr:to>
      <xdr:col>25</xdr:col>
      <xdr:colOff>409574</xdr:colOff>
      <xdr:row>42</xdr:row>
      <xdr:rowOff>123825</xdr:rowOff>
    </xdr:to>
    <xdr:graphicFrame macro="">
      <xdr:nvGraphicFramePr>
        <xdr:cNvPr id="6" name="Chart 5">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542924</xdr:colOff>
      <xdr:row>57</xdr:row>
      <xdr:rowOff>64558</xdr:rowOff>
    </xdr:from>
    <xdr:to>
      <xdr:col>21</xdr:col>
      <xdr:colOff>197908</xdr:colOff>
      <xdr:row>72</xdr:row>
      <xdr:rowOff>27516</xdr:rowOff>
    </xdr:to>
    <xdr:graphicFrame macro="">
      <xdr:nvGraphicFramePr>
        <xdr:cNvPr id="3" name="Chart 2">
          <a:extLst>
            <a:ext uri="{FF2B5EF4-FFF2-40B4-BE49-F238E27FC236}">
              <a16:creationId xmlns:a16="http://schemas.microsoft.com/office/drawing/2014/main" id="{00000000-0008-0000-0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455083</xdr:colOff>
      <xdr:row>10</xdr:row>
      <xdr:rowOff>109008</xdr:rowOff>
    </xdr:from>
    <xdr:to>
      <xdr:col>31</xdr:col>
      <xdr:colOff>366184</xdr:colOff>
      <xdr:row>26</xdr:row>
      <xdr:rowOff>2116</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xdr:colOff>
      <xdr:row>6</xdr:row>
      <xdr:rowOff>22223</xdr:rowOff>
    </xdr:from>
    <xdr:to>
      <xdr:col>14</xdr:col>
      <xdr:colOff>952502</xdr:colOff>
      <xdr:row>7</xdr:row>
      <xdr:rowOff>158750</xdr:rowOff>
    </xdr:to>
    <xdr:sp macro="" textlink="">
      <xdr:nvSpPr>
        <xdr:cNvPr id="3" name="Right Brace 2">
          <a:extLst>
            <a:ext uri="{FF2B5EF4-FFF2-40B4-BE49-F238E27FC236}">
              <a16:creationId xmlns:a16="http://schemas.microsoft.com/office/drawing/2014/main" id="{00000000-0008-0000-1000-000003000000}"/>
            </a:ext>
          </a:extLst>
        </xdr:cNvPr>
        <xdr:cNvSpPr/>
      </xdr:nvSpPr>
      <xdr:spPr>
        <a:xfrm rot="16200000">
          <a:off x="23537864" y="5592763"/>
          <a:ext cx="320677" cy="9429748"/>
        </a:xfrm>
        <a:prstGeom prst="rightBrace">
          <a:avLst>
            <a:gd name="adj1" fmla="val 8333"/>
            <a:gd name="adj2" fmla="val 49831"/>
          </a:avLst>
        </a:prstGeom>
        <a:solidFill>
          <a:srgbClr val="00B0F0"/>
        </a:solidFill>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rgbClr val="FF0000"/>
            </a:solidFill>
          </a:endParaRPr>
        </a:p>
      </xdr:txBody>
    </xdr:sp>
    <xdr:clientData/>
  </xdr:twoCellAnchor>
  <xdr:twoCellAnchor>
    <xdr:from>
      <xdr:col>9</xdr:col>
      <xdr:colOff>57151</xdr:colOff>
      <xdr:row>1</xdr:row>
      <xdr:rowOff>152400</xdr:rowOff>
    </xdr:from>
    <xdr:to>
      <xdr:col>17</xdr:col>
      <xdr:colOff>158751</xdr:colOff>
      <xdr:row>5</xdr:row>
      <xdr:rowOff>146049</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8562976" y="333375"/>
          <a:ext cx="4978400" cy="717549"/>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For these countries, pre-COVID forecasts</a:t>
          </a:r>
          <a:r>
            <a:rPr lang="en-GB" sz="1200" baseline="0"/>
            <a:t> come from the ADO 2019 update.</a:t>
          </a:r>
        </a:p>
        <a:p>
          <a:r>
            <a:rPr lang="en-GB" sz="1200" baseline="0"/>
            <a:t>Post-COVID forecasts come from the ADB Pacific Economic Monitor (July 2020).</a:t>
          </a:r>
        </a:p>
        <a:p>
          <a:endParaRPr lang="en-GB" sz="1100"/>
        </a:p>
      </xdr:txBody>
    </xdr:sp>
    <xdr:clientData/>
  </xdr:twoCellAnchor>
  <xdr:twoCellAnchor>
    <xdr:from>
      <xdr:col>1</xdr:col>
      <xdr:colOff>35720</xdr:colOff>
      <xdr:row>6</xdr:row>
      <xdr:rowOff>59532</xdr:rowOff>
    </xdr:from>
    <xdr:to>
      <xdr:col>7</xdr:col>
      <xdr:colOff>1619252</xdr:colOff>
      <xdr:row>7</xdr:row>
      <xdr:rowOff>142875</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rot="16200000">
          <a:off x="11722102" y="3194050"/>
          <a:ext cx="261143" cy="14242257"/>
        </a:xfrm>
        <a:prstGeom prst="rightBrace">
          <a:avLst>
            <a:gd name="adj1" fmla="val 8333"/>
            <a:gd name="adj2" fmla="val 49831"/>
          </a:avLst>
        </a:prstGeom>
        <a:solidFill>
          <a:srgbClr val="7030A0"/>
        </a:solidFill>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solidFill>
              <a:srgbClr val="FF0000"/>
            </a:solidFill>
          </a:endParaRPr>
        </a:p>
      </xdr:txBody>
    </xdr:sp>
    <xdr:clientData/>
  </xdr:twoCellAnchor>
  <xdr:twoCellAnchor>
    <xdr:from>
      <xdr:col>3</xdr:col>
      <xdr:colOff>793</xdr:colOff>
      <xdr:row>2</xdr:row>
      <xdr:rowOff>0</xdr:rowOff>
    </xdr:from>
    <xdr:to>
      <xdr:col>8</xdr:col>
      <xdr:colOff>9525</xdr:colOff>
      <xdr:row>5</xdr:row>
      <xdr:rowOff>171449</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4849018" y="0"/>
          <a:ext cx="3056732" cy="714374"/>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Forecasts for these countries come from various</a:t>
          </a:r>
          <a:r>
            <a:rPr lang="en-GB" sz="1200" baseline="0"/>
            <a:t> sources. Refer to individual country tabs for their sources.</a:t>
          </a:r>
        </a:p>
        <a:p>
          <a:endParaRPr lang="en-GB" sz="1100">
            <a:solidFill>
              <a:srgbClr val="FF0000"/>
            </a:solidFill>
          </a:endParaRPr>
        </a:p>
      </xdr:txBody>
    </xdr:sp>
    <xdr:clientData/>
  </xdr:twoCellAnchor>
  <xdr:twoCellAnchor>
    <xdr:from>
      <xdr:col>4</xdr:col>
      <xdr:colOff>271640</xdr:colOff>
      <xdr:row>25</xdr:row>
      <xdr:rowOff>102659</xdr:rowOff>
    </xdr:from>
    <xdr:to>
      <xdr:col>15</xdr:col>
      <xdr:colOff>331964</xdr:colOff>
      <xdr:row>48</xdr:row>
      <xdr:rowOff>123825</xdr:rowOff>
    </xdr:to>
    <xdr:graphicFrame macro="">
      <xdr:nvGraphicFramePr>
        <xdr:cNvPr id="7" name="Chart 6">
          <a:extLst>
            <a:ext uri="{FF2B5EF4-FFF2-40B4-BE49-F238E27FC236}">
              <a16:creationId xmlns:a16="http://schemas.microsoft.com/office/drawing/2014/main" id="{00000000-0008-0000-1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3181350</xdr:colOff>
      <xdr:row>13</xdr:row>
      <xdr:rowOff>85725</xdr:rowOff>
    </xdr:from>
    <xdr:to>
      <xdr:col>12</xdr:col>
      <xdr:colOff>44450</xdr:colOff>
      <xdr:row>34</xdr:row>
      <xdr:rowOff>95249</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47625</xdr:colOff>
      <xdr:row>17</xdr:row>
      <xdr:rowOff>114300</xdr:rowOff>
    </xdr:from>
    <xdr:to>
      <xdr:col>11</xdr:col>
      <xdr:colOff>73025</xdr:colOff>
      <xdr:row>18</xdr:row>
      <xdr:rowOff>120650</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9296400" y="3276600"/>
          <a:ext cx="1244600" cy="18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East</a:t>
          </a:r>
          <a:r>
            <a:rPr lang="en-GB" sz="1050" b="1" baseline="0"/>
            <a:t> </a:t>
          </a:r>
          <a:r>
            <a:rPr lang="en-GB" sz="1000" b="1" baseline="0"/>
            <a:t>Asia</a:t>
          </a:r>
          <a:endParaRPr lang="en-GB" sz="1050" b="1"/>
        </a:p>
      </xdr:txBody>
    </xdr:sp>
    <xdr:clientData/>
  </xdr:twoCellAnchor>
  <xdr:twoCellAnchor>
    <xdr:from>
      <xdr:col>8</xdr:col>
      <xdr:colOff>558800</xdr:colOff>
      <xdr:row>22</xdr:row>
      <xdr:rowOff>95250</xdr:rowOff>
    </xdr:from>
    <xdr:to>
      <xdr:col>11</xdr:col>
      <xdr:colOff>434975</xdr:colOff>
      <xdr:row>24</xdr:row>
      <xdr:rowOff>82550</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9197975" y="4162425"/>
          <a:ext cx="1704975" cy="349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Pacific island small states</a:t>
          </a:r>
        </a:p>
      </xdr:txBody>
    </xdr:sp>
    <xdr:clientData/>
  </xdr:twoCellAnchor>
  <xdr:twoCellAnchor>
    <xdr:from>
      <xdr:col>8</xdr:col>
      <xdr:colOff>333375</xdr:colOff>
      <xdr:row>27</xdr:row>
      <xdr:rowOff>95250</xdr:rowOff>
    </xdr:from>
    <xdr:to>
      <xdr:col>10</xdr:col>
      <xdr:colOff>352425</xdr:colOff>
      <xdr:row>28</xdr:row>
      <xdr:rowOff>101600</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8972550" y="5067300"/>
          <a:ext cx="1238250" cy="18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Papua New Guinea</a:t>
          </a:r>
          <a:endParaRPr lang="en-GB" sz="1050" b="1"/>
        </a:p>
      </xdr:txBody>
    </xdr:sp>
    <xdr:clientData/>
  </xdr:twoCellAnchor>
  <xdr:twoCellAnchor>
    <xdr:from>
      <xdr:col>8</xdr:col>
      <xdr:colOff>501650</xdr:colOff>
      <xdr:row>30</xdr:row>
      <xdr:rowOff>57150</xdr:rowOff>
    </xdr:from>
    <xdr:to>
      <xdr:col>10</xdr:col>
      <xdr:colOff>520700</xdr:colOff>
      <xdr:row>31</xdr:row>
      <xdr:rowOff>66675</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9140825" y="5572125"/>
          <a:ext cx="123825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t>Timor-Leste</a:t>
          </a:r>
          <a:endParaRPr lang="en-GB"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Dropbox%20(Devpolicy)/Devpolicy/Research/Pacific%20and%20PNG/Covid-19%20Economic%20Response/Blog%20%234%20-%202021%20Budgets/Samoa,%20Tonga%20and%20Fiji-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ther%20resources/Fiji%20remittanc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amily/Dropbox%20(Devpolicy)/UPNG-ANU%20PNG%20economic%20history%20book/Time%20series%20data/Global%20commodity%20prices/World%20Bank%20commodity%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Workings"/>
      <sheetName val="Australia notes"/>
      <sheetName val="Samoa notes"/>
    </sheetNames>
    <sheetDataSet>
      <sheetData sheetId="0">
        <row r="3">
          <cell r="B3" t="str">
            <v>Own revenue</v>
          </cell>
        </row>
        <row r="4">
          <cell r="B4" t="str">
            <v>Grants</v>
          </cell>
        </row>
        <row r="5">
          <cell r="B5" t="str">
            <v>Total revenue</v>
          </cell>
        </row>
        <row r="6">
          <cell r="B6" t="str">
            <v>Expenditure</v>
          </cell>
        </row>
      </sheetData>
      <sheetData sheetId="1">
        <row r="26">
          <cell r="C26" t="str">
            <v>18/19</v>
          </cell>
          <cell r="D26" t="str">
            <v>19/20</v>
          </cell>
          <cell r="E26" t="str">
            <v>20/21</v>
          </cell>
        </row>
        <row r="27">
          <cell r="B27" t="str">
            <v>Samoa</v>
          </cell>
          <cell r="C27">
            <v>48</v>
          </cell>
          <cell r="D27">
            <v>48</v>
          </cell>
          <cell r="E27">
            <v>44</v>
          </cell>
        </row>
        <row r="28">
          <cell r="B28" t="str">
            <v>Tonga</v>
          </cell>
          <cell r="C28">
            <v>43.1</v>
          </cell>
          <cell r="D28">
            <v>46.1</v>
          </cell>
          <cell r="E28">
            <v>49</v>
          </cell>
        </row>
        <row r="29">
          <cell r="B29" t="str">
            <v>Fiji</v>
          </cell>
          <cell r="C29">
            <v>49.3</v>
          </cell>
          <cell r="D29">
            <v>65.599999999999994</v>
          </cell>
          <cell r="E29">
            <v>83.4</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heet1"/>
      <sheetName val="Imports SITC  (2)"/>
    </sheetNames>
    <sheetDataSet>
      <sheetData sheetId="0">
        <row r="36">
          <cell r="A36" t="str">
            <v>Jan.</v>
          </cell>
        </row>
        <row r="37">
          <cell r="A37" t="str">
            <v>Feb.</v>
          </cell>
        </row>
        <row r="38">
          <cell r="A38" t="str">
            <v>Mar.</v>
          </cell>
        </row>
        <row r="39">
          <cell r="A39" t="str">
            <v>Apr.</v>
          </cell>
        </row>
        <row r="40">
          <cell r="A40" t="str">
            <v>May</v>
          </cell>
        </row>
        <row r="41">
          <cell r="A41" t="str">
            <v>Jun.</v>
          </cell>
        </row>
        <row r="42">
          <cell r="A42" t="str">
            <v>Jul.</v>
          </cell>
        </row>
        <row r="43">
          <cell r="A43" t="str">
            <v>Aug.</v>
          </cell>
        </row>
        <row r="44">
          <cell r="A44" t="str">
            <v>Sep.</v>
          </cell>
        </row>
        <row r="45">
          <cell r="A45" t="str">
            <v>Oct.</v>
          </cell>
        </row>
        <row r="46">
          <cell r="A46" t="str">
            <v>Nov.</v>
          </cell>
        </row>
        <row r="47">
          <cell r="A47" t="str">
            <v>Dec.</v>
          </cell>
        </row>
        <row r="50">
          <cell r="A50" t="str">
            <v>Jan.</v>
          </cell>
        </row>
        <row r="51">
          <cell r="A51" t="str">
            <v>Feb.</v>
          </cell>
        </row>
        <row r="52">
          <cell r="A52" t="str">
            <v>Mar.</v>
          </cell>
        </row>
        <row r="53">
          <cell r="A53" t="str">
            <v>Apr.</v>
          </cell>
        </row>
        <row r="54">
          <cell r="A54" t="str">
            <v>May</v>
          </cell>
        </row>
        <row r="55">
          <cell r="A55" t="str">
            <v>Jun.</v>
          </cell>
        </row>
        <row r="56">
          <cell r="A56" t="str">
            <v>Jul.</v>
          </cell>
        </row>
        <row r="57">
          <cell r="A57" t="str">
            <v>Aug.</v>
          </cell>
        </row>
        <row r="58">
          <cell r="A58" t="str">
            <v>Sep.</v>
          </cell>
        </row>
        <row r="59">
          <cell r="A59" t="str">
            <v>Oct.</v>
          </cell>
        </row>
        <row r="60">
          <cell r="A60" t="str">
            <v>Nov.</v>
          </cell>
        </row>
        <row r="61">
          <cell r="A61" t="str">
            <v>Dec.</v>
          </cell>
        </row>
        <row r="64">
          <cell r="A64" t="str">
            <v>Jan.</v>
          </cell>
        </row>
        <row r="65">
          <cell r="A65" t="str">
            <v>Feb.</v>
          </cell>
        </row>
        <row r="66">
          <cell r="A66" t="str">
            <v>Mar.</v>
          </cell>
        </row>
        <row r="67">
          <cell r="A67" t="str">
            <v>Apr.</v>
          </cell>
        </row>
        <row r="68">
          <cell r="A68" t="str">
            <v>May</v>
          </cell>
        </row>
        <row r="69">
          <cell r="A69" t="str">
            <v>Jun.</v>
          </cell>
        </row>
        <row r="70">
          <cell r="A70" t="str">
            <v>Jul.</v>
          </cell>
        </row>
        <row r="71">
          <cell r="A71" t="str">
            <v>Aug.</v>
          </cell>
        </row>
        <row r="72">
          <cell r="A72" t="str">
            <v>Sep.</v>
          </cell>
        </row>
        <row r="73">
          <cell r="A73" t="str">
            <v>Oct.</v>
          </cell>
        </row>
        <row r="74">
          <cell r="A74" t="str">
            <v>Nov.</v>
          </cell>
        </row>
        <row r="75">
          <cell r="A75" t="str">
            <v>Dec.</v>
          </cell>
        </row>
        <row r="78">
          <cell r="A78" t="str">
            <v>Jan.</v>
          </cell>
        </row>
        <row r="79">
          <cell r="A79" t="str">
            <v>Feb.</v>
          </cell>
        </row>
        <row r="80">
          <cell r="A80" t="str">
            <v>Mar.</v>
          </cell>
        </row>
        <row r="81">
          <cell r="A81" t="str">
            <v>Apr.</v>
          </cell>
        </row>
        <row r="82">
          <cell r="A82" t="str">
            <v>May</v>
          </cell>
        </row>
        <row r="83">
          <cell r="A83" t="str">
            <v>Jun.</v>
          </cell>
        </row>
        <row r="84">
          <cell r="A84" t="str">
            <v>Jul.</v>
          </cell>
        </row>
        <row r="85">
          <cell r="A85" t="str">
            <v>Aug.</v>
          </cell>
        </row>
        <row r="86">
          <cell r="A86" t="str">
            <v>Sep.</v>
          </cell>
        </row>
        <row r="87">
          <cell r="A87" t="str">
            <v>Oct.</v>
          </cell>
        </row>
        <row r="88">
          <cell r="A88" t="str">
            <v>Nov.</v>
          </cell>
        </row>
        <row r="89">
          <cell r="A89" t="str">
            <v>Dec.</v>
          </cell>
        </row>
        <row r="92">
          <cell r="A92" t="str">
            <v>Jan.</v>
          </cell>
        </row>
        <row r="93">
          <cell r="A93" t="str">
            <v>Feb.</v>
          </cell>
        </row>
        <row r="94">
          <cell r="A94" t="str">
            <v>Mar.</v>
          </cell>
        </row>
        <row r="95">
          <cell r="A95" t="str">
            <v>Apr.</v>
          </cell>
        </row>
        <row r="96">
          <cell r="A96" t="str">
            <v>May</v>
          </cell>
        </row>
        <row r="97">
          <cell r="A97" t="str">
            <v>Jun.</v>
          </cell>
        </row>
        <row r="98">
          <cell r="A98" t="str">
            <v>Jul.</v>
          </cell>
        </row>
        <row r="99">
          <cell r="A99" t="str">
            <v>Aug.</v>
          </cell>
        </row>
        <row r="100">
          <cell r="A100" t="str">
            <v>Sep.</v>
          </cell>
        </row>
        <row r="101">
          <cell r="A101" t="str">
            <v>Oct.</v>
          </cell>
        </row>
        <row r="102">
          <cell r="A102" t="str">
            <v>Nov.</v>
          </cell>
        </row>
        <row r="103">
          <cell r="A103" t="str">
            <v>Dec.</v>
          </cell>
        </row>
        <row r="106">
          <cell r="A106" t="str">
            <v>Jan.</v>
          </cell>
        </row>
        <row r="107">
          <cell r="A107" t="str">
            <v>Feb.</v>
          </cell>
        </row>
        <row r="108">
          <cell r="A108" t="str">
            <v>Mar.</v>
          </cell>
        </row>
        <row r="109">
          <cell r="A109" t="str">
            <v>Apr.</v>
          </cell>
        </row>
        <row r="110">
          <cell r="A110" t="str">
            <v>May</v>
          </cell>
        </row>
        <row r="111">
          <cell r="A111" t="str">
            <v>Jun.</v>
          </cell>
        </row>
        <row r="112">
          <cell r="A112" t="str">
            <v>Jul.</v>
          </cell>
        </row>
        <row r="113">
          <cell r="A113" t="str">
            <v>Aug.</v>
          </cell>
        </row>
        <row r="114">
          <cell r="A114" t="str">
            <v>Sep.</v>
          </cell>
        </row>
        <row r="115">
          <cell r="A115" t="str">
            <v>Oct.</v>
          </cell>
        </row>
        <row r="116">
          <cell r="A116" t="str">
            <v>Nov.</v>
          </cell>
        </row>
        <row r="117">
          <cell r="A117" t="str">
            <v>Dec.</v>
          </cell>
        </row>
        <row r="120">
          <cell r="A120" t="str">
            <v>Jan.</v>
          </cell>
        </row>
        <row r="121">
          <cell r="A121" t="str">
            <v>Feb.</v>
          </cell>
        </row>
        <row r="122">
          <cell r="A122" t="str">
            <v>Mar.</v>
          </cell>
        </row>
        <row r="123">
          <cell r="A123" t="str">
            <v>Apr.</v>
          </cell>
        </row>
        <row r="124">
          <cell r="A124" t="str">
            <v>May</v>
          </cell>
        </row>
        <row r="125">
          <cell r="A125" t="str">
            <v>Jun.</v>
          </cell>
        </row>
        <row r="126">
          <cell r="A126" t="str">
            <v>Jul.</v>
          </cell>
        </row>
        <row r="127">
          <cell r="A127" t="str">
            <v>Aug.</v>
          </cell>
        </row>
        <row r="128">
          <cell r="A128" t="str">
            <v>Sep.</v>
          </cell>
        </row>
        <row r="129">
          <cell r="A129" t="str">
            <v>Oct.</v>
          </cell>
        </row>
        <row r="130">
          <cell r="A130" t="str">
            <v>Nov.</v>
          </cell>
        </row>
        <row r="131">
          <cell r="A131" t="str">
            <v>Dec.</v>
          </cell>
        </row>
        <row r="134">
          <cell r="A134" t="str">
            <v>Jan.</v>
          </cell>
        </row>
        <row r="135">
          <cell r="A135" t="str">
            <v>Feb.</v>
          </cell>
        </row>
        <row r="136">
          <cell r="A136" t="str">
            <v>Mar.</v>
          </cell>
        </row>
        <row r="137">
          <cell r="A137" t="str">
            <v>Apr.</v>
          </cell>
        </row>
        <row r="138">
          <cell r="A138" t="str">
            <v>May</v>
          </cell>
        </row>
        <row r="139">
          <cell r="A139" t="str">
            <v>Jun.</v>
          </cell>
        </row>
        <row r="140">
          <cell r="A140" t="str">
            <v>Jul.</v>
          </cell>
        </row>
        <row r="141">
          <cell r="A141" t="str">
            <v>Aug.</v>
          </cell>
        </row>
        <row r="142">
          <cell r="A142" t="str">
            <v>Sep.</v>
          </cell>
        </row>
        <row r="143">
          <cell r="A143" t="str">
            <v>Oct.</v>
          </cell>
        </row>
        <row r="144">
          <cell r="A144" t="str">
            <v>Nov.</v>
          </cell>
        </row>
        <row r="145">
          <cell r="A145" t="str">
            <v>Dec.</v>
          </cell>
        </row>
        <row r="148">
          <cell r="A148" t="str">
            <v>Jan.</v>
          </cell>
        </row>
        <row r="149">
          <cell r="A149" t="str">
            <v>Feb.</v>
          </cell>
        </row>
        <row r="150">
          <cell r="A150" t="str">
            <v>Mar.</v>
          </cell>
        </row>
        <row r="151">
          <cell r="A151" t="str">
            <v>Apr.</v>
          </cell>
        </row>
        <row r="152">
          <cell r="A152" t="str">
            <v>May</v>
          </cell>
        </row>
        <row r="153">
          <cell r="A153" t="str">
            <v>Jun.</v>
          </cell>
        </row>
        <row r="154">
          <cell r="A154" t="str">
            <v>Jul.</v>
          </cell>
        </row>
        <row r="155">
          <cell r="A155" t="str">
            <v>Aug.</v>
          </cell>
        </row>
        <row r="156">
          <cell r="A156" t="str">
            <v>Sep.</v>
          </cell>
        </row>
        <row r="157">
          <cell r="A157" t="str">
            <v>Oct.</v>
          </cell>
        </row>
        <row r="158">
          <cell r="A158" t="str">
            <v>Nov.</v>
          </cell>
        </row>
        <row r="159">
          <cell r="A159" t="str">
            <v>Dec.</v>
          </cell>
        </row>
        <row r="162">
          <cell r="A162" t="str">
            <v>Jan.</v>
          </cell>
        </row>
        <row r="163">
          <cell r="A163" t="str">
            <v>Feb.</v>
          </cell>
        </row>
        <row r="164">
          <cell r="A164" t="str">
            <v>Mar.</v>
          </cell>
        </row>
        <row r="165">
          <cell r="A165" t="str">
            <v>Apr.</v>
          </cell>
        </row>
        <row r="166">
          <cell r="A166" t="str">
            <v>May</v>
          </cell>
        </row>
        <row r="167">
          <cell r="A167" t="str">
            <v>Jun.</v>
          </cell>
        </row>
        <row r="168">
          <cell r="A168" t="str">
            <v>Jul.</v>
          </cell>
        </row>
        <row r="169">
          <cell r="A169" t="str">
            <v>Aug.</v>
          </cell>
        </row>
        <row r="170">
          <cell r="A170" t="str">
            <v>Sep.</v>
          </cell>
        </row>
        <row r="171">
          <cell r="A171" t="str">
            <v>Oct.</v>
          </cell>
        </row>
        <row r="172">
          <cell r="A172" t="str">
            <v>Nov.</v>
          </cell>
        </row>
        <row r="173">
          <cell r="A173" t="str">
            <v>Dec.</v>
          </cell>
        </row>
        <row r="176">
          <cell r="A176" t="str">
            <v>Jan.</v>
          </cell>
        </row>
        <row r="177">
          <cell r="A177" t="str">
            <v>Feb.</v>
          </cell>
        </row>
        <row r="178">
          <cell r="A178" t="str">
            <v>Mar.</v>
          </cell>
        </row>
        <row r="179">
          <cell r="A179" t="str">
            <v>Apr.</v>
          </cell>
        </row>
        <row r="180">
          <cell r="A180" t="str">
            <v>May</v>
          </cell>
        </row>
        <row r="181">
          <cell r="A181" t="str">
            <v>Jun.</v>
          </cell>
        </row>
        <row r="182">
          <cell r="A182" t="str">
            <v>Jul.</v>
          </cell>
        </row>
        <row r="183">
          <cell r="A183" t="str">
            <v>Aug.</v>
          </cell>
        </row>
        <row r="184">
          <cell r="A184" t="str">
            <v>Sep.</v>
          </cell>
        </row>
        <row r="185">
          <cell r="A185" t="str">
            <v>Oct.</v>
          </cell>
        </row>
        <row r="186">
          <cell r="A186" t="str">
            <v>Nov.</v>
          </cell>
        </row>
        <row r="187">
          <cell r="A187" t="str">
            <v>Dec.</v>
          </cell>
        </row>
        <row r="190">
          <cell r="A190" t="str">
            <v>Jan.</v>
          </cell>
        </row>
        <row r="191">
          <cell r="A191" t="str">
            <v>Feb.</v>
          </cell>
        </row>
        <row r="192">
          <cell r="A192" t="str">
            <v>Mar.</v>
          </cell>
        </row>
        <row r="193">
          <cell r="A193" t="str">
            <v>Apr.</v>
          </cell>
        </row>
        <row r="194">
          <cell r="A194" t="str">
            <v>May</v>
          </cell>
        </row>
        <row r="195">
          <cell r="A195" t="str">
            <v>Jun.</v>
          </cell>
        </row>
        <row r="196">
          <cell r="A196" t="str">
            <v>Jul.</v>
          </cell>
        </row>
        <row r="197">
          <cell r="A197" t="str">
            <v>Aug.</v>
          </cell>
        </row>
        <row r="198">
          <cell r="A198" t="str">
            <v>Sep.</v>
          </cell>
        </row>
        <row r="199">
          <cell r="A199" t="str">
            <v>Oct.</v>
          </cell>
        </row>
        <row r="200">
          <cell r="A200" t="str">
            <v>Nov.</v>
          </cell>
        </row>
        <row r="201">
          <cell r="A201" t="str">
            <v>Dec.</v>
          </cell>
        </row>
        <row r="204">
          <cell r="A204" t="str">
            <v>Jan.</v>
          </cell>
        </row>
        <row r="205">
          <cell r="A205" t="str">
            <v>Feb.</v>
          </cell>
        </row>
        <row r="206">
          <cell r="A206" t="str">
            <v>Mar.</v>
          </cell>
        </row>
        <row r="207">
          <cell r="A207" t="str">
            <v>Apr.</v>
          </cell>
        </row>
        <row r="208">
          <cell r="A208" t="str">
            <v>May</v>
          </cell>
        </row>
        <row r="209">
          <cell r="A209" t="str">
            <v>Jun.</v>
          </cell>
        </row>
        <row r="210">
          <cell r="A210" t="str">
            <v>Jul.</v>
          </cell>
        </row>
        <row r="211">
          <cell r="A211" t="str">
            <v>Aug.</v>
          </cell>
        </row>
        <row r="212">
          <cell r="A212" t="str">
            <v>Sep.</v>
          </cell>
        </row>
        <row r="213">
          <cell r="A213" t="str">
            <v>Oct.</v>
          </cell>
        </row>
        <row r="214">
          <cell r="A214" t="str">
            <v>Nov.</v>
          </cell>
        </row>
        <row r="215">
          <cell r="A215" t="str">
            <v>Dec.</v>
          </cell>
        </row>
        <row r="218">
          <cell r="A218" t="str">
            <v>Jan.</v>
          </cell>
        </row>
        <row r="219">
          <cell r="A219" t="str">
            <v>Feb.</v>
          </cell>
        </row>
        <row r="220">
          <cell r="A220" t="str">
            <v>Mar.</v>
          </cell>
        </row>
        <row r="221">
          <cell r="A221" t="str">
            <v>Apr.</v>
          </cell>
        </row>
        <row r="222">
          <cell r="A222" t="str">
            <v>May</v>
          </cell>
        </row>
        <row r="223">
          <cell r="A223" t="str">
            <v>Jun.</v>
          </cell>
        </row>
        <row r="224">
          <cell r="A224" t="str">
            <v>Jul.</v>
          </cell>
        </row>
        <row r="225">
          <cell r="A225" t="str">
            <v>Aug.</v>
          </cell>
        </row>
        <row r="226">
          <cell r="A226" t="str">
            <v>Sep.</v>
          </cell>
        </row>
        <row r="227">
          <cell r="A227" t="str">
            <v>Oct.</v>
          </cell>
        </row>
        <row r="228">
          <cell r="A228" t="str">
            <v>Nov.</v>
          </cell>
        </row>
        <row r="229">
          <cell r="A229" t="str">
            <v>Dec.</v>
          </cell>
        </row>
        <row r="232">
          <cell r="A232" t="str">
            <v>Jan.</v>
          </cell>
        </row>
        <row r="233">
          <cell r="A233" t="str">
            <v>Feb.</v>
          </cell>
        </row>
        <row r="234">
          <cell r="A234" t="str">
            <v>Mar.</v>
          </cell>
        </row>
        <row r="235">
          <cell r="A235" t="str">
            <v>Apr.</v>
          </cell>
        </row>
        <row r="236">
          <cell r="A236" t="str">
            <v>May</v>
          </cell>
        </row>
        <row r="237">
          <cell r="A237" t="str">
            <v>Jun.</v>
          </cell>
        </row>
        <row r="238">
          <cell r="A238" t="str">
            <v>Jul.</v>
          </cell>
        </row>
        <row r="239">
          <cell r="A239" t="str">
            <v>Aug.</v>
          </cell>
        </row>
        <row r="240">
          <cell r="A240" t="str">
            <v>Sep.</v>
          </cell>
        </row>
        <row r="241">
          <cell r="A241" t="str">
            <v>Oct.</v>
          </cell>
        </row>
        <row r="242">
          <cell r="A242" t="str">
            <v>Nov.</v>
          </cell>
        </row>
        <row r="243">
          <cell r="A243" t="str">
            <v>Dec.</v>
          </cell>
        </row>
        <row r="246">
          <cell r="A246" t="str">
            <v>Jan.</v>
          </cell>
        </row>
        <row r="247">
          <cell r="A247" t="str">
            <v>Feb.</v>
          </cell>
        </row>
        <row r="248">
          <cell r="A248" t="str">
            <v>Mar.</v>
          </cell>
        </row>
        <row r="249">
          <cell r="A249" t="str">
            <v>Apr.</v>
          </cell>
        </row>
        <row r="250">
          <cell r="A250" t="str">
            <v>May</v>
          </cell>
        </row>
        <row r="251">
          <cell r="A251" t="str">
            <v>Jun.</v>
          </cell>
        </row>
        <row r="252">
          <cell r="A252" t="str">
            <v>Jul.</v>
          </cell>
        </row>
        <row r="253">
          <cell r="A253" t="str">
            <v>Aug.</v>
          </cell>
        </row>
        <row r="254">
          <cell r="A254" t="str">
            <v>Sep.</v>
          </cell>
        </row>
        <row r="255">
          <cell r="A255" t="str">
            <v>Oct.</v>
          </cell>
        </row>
        <row r="256">
          <cell r="A256" t="str">
            <v>Nov.</v>
          </cell>
        </row>
        <row r="257">
          <cell r="A257" t="str">
            <v>Dec.</v>
          </cell>
        </row>
        <row r="260">
          <cell r="A260" t="str">
            <v>Jan.</v>
          </cell>
        </row>
        <row r="261">
          <cell r="A261" t="str">
            <v>Feb.</v>
          </cell>
        </row>
        <row r="262">
          <cell r="A262" t="str">
            <v>Mar.</v>
          </cell>
        </row>
        <row r="263">
          <cell r="A263" t="str">
            <v>Apr.</v>
          </cell>
        </row>
        <row r="264">
          <cell r="A264" t="str">
            <v>May</v>
          </cell>
        </row>
        <row r="265">
          <cell r="A265" t="str">
            <v>Jun.</v>
          </cell>
        </row>
        <row r="266">
          <cell r="A266" t="str">
            <v>Jul.</v>
          </cell>
        </row>
        <row r="267">
          <cell r="A267" t="str">
            <v>Aug.</v>
          </cell>
        </row>
        <row r="268">
          <cell r="A268" t="str">
            <v>Sep.</v>
          </cell>
        </row>
        <row r="269">
          <cell r="A269" t="str">
            <v>Oct.</v>
          </cell>
        </row>
        <row r="270">
          <cell r="A270" t="str">
            <v>Nov.</v>
          </cell>
        </row>
        <row r="271">
          <cell r="A271" t="str">
            <v>Dec.</v>
          </cell>
        </row>
        <row r="274">
          <cell r="A274" t="str">
            <v>Jan.</v>
          </cell>
        </row>
        <row r="275">
          <cell r="A275" t="str">
            <v>Feb.</v>
          </cell>
        </row>
        <row r="276">
          <cell r="A276" t="str">
            <v>Mar.</v>
          </cell>
        </row>
        <row r="277">
          <cell r="A277" t="str">
            <v>Apr.</v>
          </cell>
        </row>
        <row r="278">
          <cell r="A278" t="str">
            <v>May</v>
          </cell>
        </row>
        <row r="279">
          <cell r="A279" t="str">
            <v>Jun.</v>
          </cell>
        </row>
        <row r="280">
          <cell r="A280" t="str">
            <v>Jul.</v>
          </cell>
        </row>
        <row r="281">
          <cell r="A281" t="str">
            <v>Aug.</v>
          </cell>
        </row>
        <row r="282">
          <cell r="A282" t="str">
            <v>Sep.</v>
          </cell>
        </row>
        <row r="283">
          <cell r="A283" t="str">
            <v>Oct.</v>
          </cell>
        </row>
        <row r="284">
          <cell r="A284" t="str">
            <v>Nov.</v>
          </cell>
        </row>
        <row r="285">
          <cell r="A285" t="str">
            <v>Dec.</v>
          </cell>
        </row>
        <row r="288">
          <cell r="A288" t="str">
            <v>Jan.</v>
          </cell>
        </row>
        <row r="289">
          <cell r="A289" t="str">
            <v>Feb.</v>
          </cell>
        </row>
        <row r="290">
          <cell r="A290" t="str">
            <v>Mar.</v>
          </cell>
        </row>
        <row r="291">
          <cell r="A291" t="str">
            <v>Apr.</v>
          </cell>
        </row>
        <row r="292">
          <cell r="A292" t="str">
            <v>May</v>
          </cell>
        </row>
        <row r="293">
          <cell r="A293" t="str">
            <v>Jun</v>
          </cell>
        </row>
        <row r="294">
          <cell r="A294" t="str">
            <v>Jul.</v>
          </cell>
        </row>
        <row r="295">
          <cell r="A295" t="str">
            <v>Aug.</v>
          </cell>
        </row>
        <row r="296">
          <cell r="A296" t="str">
            <v>Sep.</v>
          </cell>
        </row>
        <row r="297">
          <cell r="A297" t="str">
            <v>Oct.</v>
          </cell>
        </row>
        <row r="298">
          <cell r="A298" t="str">
            <v>Nov.</v>
          </cell>
        </row>
        <row r="299">
          <cell r="A299" t="str">
            <v>Dec.</v>
          </cell>
        </row>
        <row r="302">
          <cell r="A302" t="str">
            <v>Jan.</v>
          </cell>
        </row>
        <row r="303">
          <cell r="A303" t="str">
            <v>Feb.</v>
          </cell>
        </row>
        <row r="304">
          <cell r="A304" t="str">
            <v>Mar.</v>
          </cell>
        </row>
        <row r="305">
          <cell r="A305" t="str">
            <v>Apr.</v>
          </cell>
        </row>
        <row r="306">
          <cell r="A306" t="str">
            <v>May</v>
          </cell>
        </row>
        <row r="307">
          <cell r="A307" t="str">
            <v>Jun</v>
          </cell>
        </row>
        <row r="308">
          <cell r="A308" t="str">
            <v>Jul.</v>
          </cell>
        </row>
        <row r="309">
          <cell r="A309" t="str">
            <v>Aug.</v>
          </cell>
        </row>
        <row r="310">
          <cell r="A310" t="str">
            <v>Sep.</v>
          </cell>
        </row>
        <row r="311">
          <cell r="A311" t="str">
            <v>Oct.</v>
          </cell>
        </row>
        <row r="312">
          <cell r="A312" t="str">
            <v>Nov.</v>
          </cell>
        </row>
        <row r="313">
          <cell r="A313" t="str">
            <v>Dec.</v>
          </cell>
        </row>
        <row r="316">
          <cell r="A316" t="str">
            <v>Jan.</v>
          </cell>
        </row>
        <row r="317">
          <cell r="A317" t="str">
            <v>Feb.</v>
          </cell>
        </row>
        <row r="318">
          <cell r="A318" t="str">
            <v>Mar.</v>
          </cell>
        </row>
        <row r="319">
          <cell r="A319" t="str">
            <v>Apr.</v>
          </cell>
        </row>
        <row r="320">
          <cell r="A320" t="str">
            <v>May</v>
          </cell>
        </row>
        <row r="321">
          <cell r="A321" t="str">
            <v>Jun.</v>
          </cell>
        </row>
        <row r="322">
          <cell r="A322" t="str">
            <v>July</v>
          </cell>
        </row>
        <row r="323">
          <cell r="A323" t="str">
            <v>Aug.</v>
          </cell>
        </row>
        <row r="324">
          <cell r="A324" t="str">
            <v>Sep.</v>
          </cell>
        </row>
        <row r="325">
          <cell r="A325" t="str">
            <v>Oct.</v>
          </cell>
        </row>
        <row r="326">
          <cell r="A326" t="str">
            <v>Nov.</v>
          </cell>
        </row>
        <row r="327">
          <cell r="A327" t="str">
            <v>Dec.</v>
          </cell>
        </row>
        <row r="330">
          <cell r="A330" t="str">
            <v>Jan.</v>
          </cell>
        </row>
        <row r="331">
          <cell r="A331" t="str">
            <v>Feb.</v>
          </cell>
        </row>
        <row r="332">
          <cell r="A332" t="str">
            <v>Mar.</v>
          </cell>
        </row>
        <row r="333">
          <cell r="A333" t="str">
            <v>Apr.</v>
          </cell>
        </row>
        <row r="334">
          <cell r="A334" t="str">
            <v>May</v>
          </cell>
        </row>
        <row r="335">
          <cell r="A335" t="str">
            <v>Jun.</v>
          </cell>
        </row>
        <row r="336">
          <cell r="A336" t="str">
            <v>July</v>
          </cell>
        </row>
        <row r="337">
          <cell r="A337" t="str">
            <v>Aug.</v>
          </cell>
        </row>
        <row r="338">
          <cell r="A338" t="str">
            <v>Sep.</v>
          </cell>
        </row>
        <row r="339">
          <cell r="A339" t="str">
            <v>Oct.</v>
          </cell>
        </row>
        <row r="340">
          <cell r="A340" t="str">
            <v>Nov.</v>
          </cell>
        </row>
        <row r="341">
          <cell r="A341" t="str">
            <v>Dec.</v>
          </cell>
        </row>
        <row r="344">
          <cell r="A344" t="str">
            <v>Jan.</v>
          </cell>
        </row>
        <row r="345">
          <cell r="A345" t="str">
            <v>Feb.</v>
          </cell>
        </row>
        <row r="346">
          <cell r="A346" t="str">
            <v>Mar.</v>
          </cell>
        </row>
        <row r="347">
          <cell r="A347" t="str">
            <v>Apr.</v>
          </cell>
        </row>
        <row r="348">
          <cell r="A348" t="str">
            <v>May</v>
          </cell>
        </row>
        <row r="349">
          <cell r="A349" t="str">
            <v>Jun.</v>
          </cell>
        </row>
        <row r="350">
          <cell r="A350" t="str">
            <v>Jul.</v>
          </cell>
        </row>
        <row r="351">
          <cell r="A351" t="str">
            <v>Aug.</v>
          </cell>
        </row>
        <row r="352">
          <cell r="A352" t="str">
            <v>Sep.</v>
          </cell>
        </row>
        <row r="353">
          <cell r="A353" t="str">
            <v>Oct.</v>
          </cell>
        </row>
        <row r="354">
          <cell r="A354" t="str">
            <v>Nov.</v>
          </cell>
        </row>
        <row r="355">
          <cell r="A355" t="str">
            <v>Dec.</v>
          </cell>
        </row>
        <row r="358">
          <cell r="A358" t="str">
            <v>Jan.</v>
          </cell>
        </row>
        <row r="359">
          <cell r="A359" t="str">
            <v>Feb.</v>
          </cell>
        </row>
        <row r="360">
          <cell r="A360" t="str">
            <v>Mar.</v>
          </cell>
        </row>
        <row r="361">
          <cell r="A361" t="str">
            <v>Apr.</v>
          </cell>
        </row>
        <row r="362">
          <cell r="A362" t="str">
            <v>May</v>
          </cell>
        </row>
        <row r="363">
          <cell r="A363" t="str">
            <v>Jun.</v>
          </cell>
        </row>
        <row r="364">
          <cell r="A364" t="str">
            <v>Jul.</v>
          </cell>
        </row>
        <row r="365">
          <cell r="A365" t="str">
            <v>Aug.</v>
          </cell>
        </row>
        <row r="366">
          <cell r="A366" t="str">
            <v>Sep.</v>
          </cell>
        </row>
        <row r="367">
          <cell r="A367" t="str">
            <v>Oct.</v>
          </cell>
        </row>
        <row r="368">
          <cell r="A368" t="str">
            <v>Nov.</v>
          </cell>
        </row>
        <row r="369">
          <cell r="A369" t="str">
            <v>Dec.</v>
          </cell>
        </row>
        <row r="372">
          <cell r="A372" t="str">
            <v>Jan.</v>
          </cell>
        </row>
        <row r="373">
          <cell r="A373" t="str">
            <v>Feb.</v>
          </cell>
        </row>
        <row r="374">
          <cell r="A374" t="str">
            <v>Mar.</v>
          </cell>
        </row>
        <row r="375">
          <cell r="A375" t="str">
            <v>Apr.</v>
          </cell>
        </row>
        <row r="376">
          <cell r="A376" t="str">
            <v>May</v>
          </cell>
        </row>
        <row r="377">
          <cell r="A377" t="str">
            <v>Jun.</v>
          </cell>
        </row>
        <row r="378">
          <cell r="A378" t="str">
            <v>Jul.</v>
          </cell>
        </row>
        <row r="379">
          <cell r="A379" t="str">
            <v>Aug.</v>
          </cell>
        </row>
        <row r="380">
          <cell r="A380" t="str">
            <v>Sep.</v>
          </cell>
        </row>
        <row r="381">
          <cell r="A381" t="str">
            <v>Oct.</v>
          </cell>
        </row>
        <row r="382">
          <cell r="A382" t="str">
            <v>Nov.</v>
          </cell>
        </row>
        <row r="383">
          <cell r="A383" t="str">
            <v>Dec.</v>
          </cell>
        </row>
        <row r="386">
          <cell r="A386" t="str">
            <v>Jan.</v>
          </cell>
        </row>
        <row r="387">
          <cell r="A387" t="str">
            <v>Feb.</v>
          </cell>
        </row>
        <row r="388">
          <cell r="A388" t="str">
            <v>Mar.</v>
          </cell>
        </row>
        <row r="389">
          <cell r="A389" t="str">
            <v>Apr.</v>
          </cell>
        </row>
        <row r="390">
          <cell r="A390" t="str">
            <v>May</v>
          </cell>
        </row>
        <row r="391">
          <cell r="A391" t="str">
            <v>Jun.</v>
          </cell>
        </row>
        <row r="392">
          <cell r="A392" t="str">
            <v>Jul.</v>
          </cell>
        </row>
        <row r="393">
          <cell r="A393" t="str">
            <v>Aug.</v>
          </cell>
        </row>
        <row r="394">
          <cell r="A394" t="str">
            <v>Sep.</v>
          </cell>
        </row>
        <row r="395">
          <cell r="A395" t="str">
            <v>Oct.</v>
          </cell>
        </row>
        <row r="396">
          <cell r="A396" t="str">
            <v>Nov.</v>
          </cell>
        </row>
        <row r="397">
          <cell r="A397" t="str">
            <v>Dec.</v>
          </cell>
        </row>
        <row r="400">
          <cell r="A400" t="str">
            <v>Jan.</v>
          </cell>
        </row>
        <row r="401">
          <cell r="A401" t="str">
            <v>Feb.</v>
          </cell>
        </row>
        <row r="402">
          <cell r="A402" t="str">
            <v>Mar.</v>
          </cell>
        </row>
        <row r="403">
          <cell r="A403" t="str">
            <v>Apr.</v>
          </cell>
        </row>
        <row r="404">
          <cell r="A404" t="str">
            <v>May</v>
          </cell>
        </row>
        <row r="405">
          <cell r="A405" t="str">
            <v>Jun.</v>
          </cell>
        </row>
        <row r="406">
          <cell r="A406" t="str">
            <v>Jul.</v>
          </cell>
        </row>
        <row r="407">
          <cell r="A407" t="str">
            <v>Aug.</v>
          </cell>
        </row>
        <row r="408">
          <cell r="A408" t="str">
            <v>Sep.</v>
          </cell>
        </row>
        <row r="409">
          <cell r="A409" t="str">
            <v>Oct.</v>
          </cell>
        </row>
        <row r="410">
          <cell r="A410" t="str">
            <v>Nov.</v>
          </cell>
        </row>
        <row r="411">
          <cell r="A411" t="str">
            <v>Dec.</v>
          </cell>
        </row>
        <row r="414">
          <cell r="A414" t="str">
            <v>Jan.</v>
          </cell>
        </row>
        <row r="415">
          <cell r="A415" t="str">
            <v>Feb.</v>
          </cell>
        </row>
        <row r="416">
          <cell r="A416" t="str">
            <v>Mar.</v>
          </cell>
        </row>
        <row r="417">
          <cell r="A417" t="str">
            <v>Apr.</v>
          </cell>
        </row>
        <row r="418">
          <cell r="A418" t="str">
            <v>May.</v>
          </cell>
        </row>
        <row r="419">
          <cell r="A419" t="str">
            <v>Jun.</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OSHEET"/>
      <sheetName val="Monthly Prices"/>
      <sheetName val="Graphs"/>
      <sheetName val="Monthly Indices"/>
      <sheetName val="Description"/>
      <sheetName val="Source"/>
      <sheetName val="Index Weights"/>
    </sheetNames>
    <sheetDataSet>
      <sheetData sheetId="0" refreshError="1"/>
      <sheetData sheetId="1">
        <row r="5">
          <cell r="B5" t="str">
            <v>Crude oil, average</v>
          </cell>
          <cell r="M5" t="str">
            <v>Coffee, Arabica</v>
          </cell>
          <cell r="W5" t="str">
            <v>Palm oil</v>
          </cell>
          <cell r="BR5" t="str">
            <v>Gold</v>
          </cell>
        </row>
        <row r="6">
          <cell r="B6" t="str">
            <v>($/bbl)</v>
          </cell>
          <cell r="M6" t="str">
            <v>($/kg)</v>
          </cell>
          <cell r="W6" t="str">
            <v>($/mt)</v>
          </cell>
          <cell r="BR6" t="str">
            <v>($/troy oz)</v>
          </cell>
        </row>
        <row r="721">
          <cell r="A721" t="str">
            <v>2019M06</v>
          </cell>
        </row>
        <row r="722">
          <cell r="A722" t="str">
            <v>2019M07</v>
          </cell>
        </row>
        <row r="723">
          <cell r="A723" t="str">
            <v>2019M08</v>
          </cell>
        </row>
        <row r="724">
          <cell r="A724" t="str">
            <v>2019M09</v>
          </cell>
        </row>
        <row r="725">
          <cell r="A725" t="str">
            <v>2019M10</v>
          </cell>
        </row>
        <row r="726">
          <cell r="A726" t="str">
            <v>2019M11</v>
          </cell>
        </row>
        <row r="727">
          <cell r="A727" t="str">
            <v>2019M12</v>
          </cell>
        </row>
        <row r="728">
          <cell r="A728" t="str">
            <v>2020M01</v>
          </cell>
        </row>
        <row r="729">
          <cell r="A729" t="str">
            <v>2020M02</v>
          </cell>
        </row>
        <row r="730">
          <cell r="A730" t="str">
            <v>2020M03</v>
          </cell>
        </row>
        <row r="731">
          <cell r="A731" t="str">
            <v>2020M04</v>
          </cell>
        </row>
        <row r="732">
          <cell r="A732" t="str">
            <v>2020M05</v>
          </cell>
        </row>
        <row r="733">
          <cell r="A733" t="str">
            <v>2020M06</v>
          </cell>
        </row>
      </sheetData>
      <sheetData sheetId="2" refreshError="1"/>
      <sheetData sheetId="3">
        <row r="9">
          <cell r="K9" t="str">
            <v>Timber</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hyperlink" Target="https://stats-2.oecd.org/index.aspx?DatasetCode=TABLE2A" TargetMode="External"/><Relationship Id="rId2" Type="http://schemas.openxmlformats.org/officeDocument/2006/relationships/hyperlink" Target="http://stats.oecd.org/OECDStat_Metadata/ShowMetadata.ashx?Dataset=TABLE2A&amp;Coords=%5bDONOR%5d.%5b20001%5d,%5bAIDTYPE%5d.%5b286%5d,%5bPART%5d.%5b1%5d,%5bDATATYPE%5d.%5bA%5d&amp;ShowOnWeb=true&amp;Lang=en" TargetMode="External"/><Relationship Id="rId1" Type="http://schemas.openxmlformats.org/officeDocument/2006/relationships/hyperlink" Target="http://stats.oecd.org/OECDStat_Metadata/ShowMetadata.ashx?Dataset=TABLE2A&amp;ShowOnWeb=true&amp;Lang=en" TargetMode="External"/><Relationship Id="rId4"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hyperlink" Target="https://openknowledge.worldbank.org/handle/10986/33477"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ooppng.com/coronavirus/k56bn-economic-stimulus-package-announced-9116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worldbank.org/en/news/press-release/2020/04/14/world-bank-commits-to-papua-new-guineas-fight-against-covid-19" TargetMode="External"/><Relationship Id="rId1" Type="http://schemas.openxmlformats.org/officeDocument/2006/relationships/hyperlink" Target="https://www.imf.org/en/Topics/imf-and-covid19/Policy-Responses-to-COVID-1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C73"/>
  <sheetViews>
    <sheetView tabSelected="1" zoomScale="80" zoomScaleNormal="80" workbookViewId="0">
      <selection activeCell="G14" sqref="G14"/>
    </sheetView>
  </sheetViews>
  <sheetFormatPr defaultColWidth="8.7265625" defaultRowHeight="15.5" x14ac:dyDescent="0.35"/>
  <cols>
    <col min="1" max="1" width="27.453125" style="165" customWidth="1"/>
    <col min="2" max="2" width="54.1796875" style="1" customWidth="1"/>
    <col min="3" max="3" width="45" style="8" customWidth="1"/>
    <col min="4" max="16384" width="8.7265625" style="8"/>
  </cols>
  <sheetData>
    <row r="1" spans="1:3" ht="27.75" customHeight="1" x14ac:dyDescent="0.35">
      <c r="A1" s="365" t="s">
        <v>661</v>
      </c>
      <c r="B1" s="365"/>
      <c r="C1" s="365"/>
    </row>
    <row r="2" spans="1:3" s="39" customFormat="1" ht="17.25" customHeight="1" x14ac:dyDescent="0.35">
      <c r="A2" s="179" t="s">
        <v>1061</v>
      </c>
      <c r="B2" s="313">
        <v>44055</v>
      </c>
      <c r="C2" s="312"/>
    </row>
    <row r="3" spans="1:3" x14ac:dyDescent="0.35">
      <c r="A3" s="179" t="s">
        <v>529</v>
      </c>
      <c r="B3" s="1" t="s">
        <v>530</v>
      </c>
    </row>
    <row r="4" spans="1:3" ht="29" x14ac:dyDescent="0.35">
      <c r="A4" s="179" t="s">
        <v>531</v>
      </c>
      <c r="B4" s="1" t="s">
        <v>532</v>
      </c>
    </row>
    <row r="5" spans="1:3" ht="84.75" customHeight="1" x14ac:dyDescent="0.35">
      <c r="A5" s="179" t="s">
        <v>1062</v>
      </c>
      <c r="B5" s="367" t="s">
        <v>1063</v>
      </c>
      <c r="C5" s="367"/>
    </row>
    <row r="6" spans="1:3" ht="186.75" customHeight="1" x14ac:dyDescent="0.35">
      <c r="A6" s="179" t="s">
        <v>568</v>
      </c>
      <c r="B6" s="367" t="s">
        <v>1067</v>
      </c>
      <c r="C6" s="367"/>
    </row>
    <row r="7" spans="1:3" ht="53.25" customHeight="1" x14ac:dyDescent="0.35">
      <c r="A7" s="179" t="s">
        <v>184</v>
      </c>
      <c r="B7" s="367" t="s">
        <v>1065</v>
      </c>
      <c r="C7" s="367"/>
    </row>
    <row r="8" spans="1:3" ht="37.5" customHeight="1" x14ac:dyDescent="0.35">
      <c r="A8" s="326" t="s">
        <v>1064</v>
      </c>
      <c r="B8" s="369" t="s">
        <v>1066</v>
      </c>
      <c r="C8" s="369"/>
    </row>
    <row r="9" spans="1:3" ht="22" customHeight="1" x14ac:dyDescent="0.35">
      <c r="A9" s="179" t="s">
        <v>533</v>
      </c>
      <c r="B9" s="366" t="s">
        <v>567</v>
      </c>
      <c r="C9" s="366"/>
    </row>
    <row r="10" spans="1:3" ht="29" x14ac:dyDescent="0.35">
      <c r="B10" s="92" t="s">
        <v>4</v>
      </c>
      <c r="C10" s="178" t="s">
        <v>8</v>
      </c>
    </row>
    <row r="11" spans="1:3" ht="46.5" customHeight="1" x14ac:dyDescent="0.35">
      <c r="B11" s="92" t="s">
        <v>6</v>
      </c>
      <c r="C11" s="178" t="s">
        <v>9</v>
      </c>
    </row>
    <row r="12" spans="1:3" ht="33" customHeight="1" x14ac:dyDescent="0.35">
      <c r="B12" s="92" t="s">
        <v>119</v>
      </c>
      <c r="C12" s="178" t="s">
        <v>118</v>
      </c>
    </row>
    <row r="13" spans="1:3" ht="90" customHeight="1" x14ac:dyDescent="0.35">
      <c r="B13" s="92" t="s">
        <v>121</v>
      </c>
      <c r="C13" s="92" t="s">
        <v>120</v>
      </c>
    </row>
    <row r="14" spans="1:3" ht="60.65" customHeight="1" x14ac:dyDescent="0.35">
      <c r="B14" s="92" t="s">
        <v>178</v>
      </c>
      <c r="C14" s="178" t="s">
        <v>174</v>
      </c>
    </row>
    <row r="15" spans="1:3" ht="60.65" customHeight="1" x14ac:dyDescent="0.35">
      <c r="B15" s="92" t="s">
        <v>203</v>
      </c>
      <c r="C15" s="92" t="s">
        <v>202</v>
      </c>
    </row>
    <row r="16" spans="1:3" ht="60.65" customHeight="1" x14ac:dyDescent="0.35">
      <c r="B16" s="92" t="s">
        <v>534</v>
      </c>
      <c r="C16" s="26" t="s">
        <v>1096</v>
      </c>
    </row>
    <row r="17" spans="2:3" ht="60.65" customHeight="1" x14ac:dyDescent="0.35">
      <c r="B17" s="92" t="s">
        <v>538</v>
      </c>
      <c r="C17" s="92" t="s">
        <v>87</v>
      </c>
    </row>
    <row r="18" spans="2:3" ht="44.15" customHeight="1" x14ac:dyDescent="0.35">
      <c r="B18" s="1" t="s">
        <v>552</v>
      </c>
      <c r="C18" s="62" t="s">
        <v>467</v>
      </c>
    </row>
    <row r="19" spans="2:3" ht="29" x14ac:dyDescent="0.35">
      <c r="B19" s="1" t="s">
        <v>553</v>
      </c>
      <c r="C19" s="26" t="s">
        <v>468</v>
      </c>
    </row>
    <row r="20" spans="2:3" x14ac:dyDescent="0.35">
      <c r="C20" s="13"/>
    </row>
    <row r="21" spans="2:3" x14ac:dyDescent="0.35">
      <c r="B21" s="366" t="s">
        <v>569</v>
      </c>
      <c r="C21" s="366"/>
    </row>
    <row r="22" spans="2:3" ht="43.5" x14ac:dyDescent="0.35">
      <c r="B22" s="1" t="s">
        <v>535</v>
      </c>
      <c r="C22" s="1" t="s">
        <v>421</v>
      </c>
    </row>
    <row r="23" spans="2:3" ht="29" x14ac:dyDescent="0.35">
      <c r="B23" s="1" t="s">
        <v>536</v>
      </c>
      <c r="C23" s="1" t="s">
        <v>321</v>
      </c>
    </row>
    <row r="24" spans="2:3" ht="58" x14ac:dyDescent="0.35">
      <c r="B24" s="1" t="s">
        <v>537</v>
      </c>
      <c r="C24" s="26" t="s">
        <v>222</v>
      </c>
    </row>
    <row r="25" spans="2:3" ht="29" x14ac:dyDescent="0.35">
      <c r="B25" s="1" t="s">
        <v>539</v>
      </c>
      <c r="C25" s="92" t="s">
        <v>151</v>
      </c>
    </row>
    <row r="26" spans="2:3" ht="53.15" customHeight="1" x14ac:dyDescent="0.35">
      <c r="B26" s="1" t="s">
        <v>575</v>
      </c>
      <c r="C26" s="92" t="s">
        <v>574</v>
      </c>
    </row>
    <row r="27" spans="2:3" ht="29" x14ac:dyDescent="0.35">
      <c r="B27" s="1" t="s">
        <v>546</v>
      </c>
      <c r="C27" s="92" t="s">
        <v>44</v>
      </c>
    </row>
    <row r="28" spans="2:3" ht="43.5" x14ac:dyDescent="0.35">
      <c r="B28" s="1" t="s">
        <v>546</v>
      </c>
      <c r="C28" s="178" t="s">
        <v>40</v>
      </c>
    </row>
    <row r="29" spans="2:3" x14ac:dyDescent="0.35">
      <c r="C29" s="178"/>
    </row>
    <row r="30" spans="2:3" x14ac:dyDescent="0.35">
      <c r="B30" s="366" t="s">
        <v>570</v>
      </c>
      <c r="C30" s="366"/>
    </row>
    <row r="31" spans="2:3" ht="29" x14ac:dyDescent="0.35">
      <c r="B31" s="1" t="s">
        <v>540</v>
      </c>
      <c r="C31" s="1" t="s">
        <v>416</v>
      </c>
    </row>
    <row r="32" spans="2:3" ht="72.5" x14ac:dyDescent="0.35">
      <c r="B32" s="1" t="s">
        <v>572</v>
      </c>
      <c r="C32" s="1" t="s">
        <v>573</v>
      </c>
    </row>
    <row r="33" spans="2:3" ht="43.5" x14ac:dyDescent="0.35">
      <c r="B33" s="1" t="s">
        <v>546</v>
      </c>
      <c r="C33" s="1" t="s">
        <v>307</v>
      </c>
    </row>
    <row r="34" spans="2:3" ht="29" x14ac:dyDescent="0.35">
      <c r="B34" s="1" t="s">
        <v>546</v>
      </c>
      <c r="C34" s="26" t="s">
        <v>27</v>
      </c>
    </row>
    <row r="35" spans="2:3" ht="87" x14ac:dyDescent="0.35">
      <c r="B35" s="1" t="s">
        <v>546</v>
      </c>
      <c r="C35" s="26" t="s">
        <v>1097</v>
      </c>
    </row>
    <row r="36" spans="2:3" ht="43.5" x14ac:dyDescent="0.35">
      <c r="B36" s="1" t="s">
        <v>541</v>
      </c>
      <c r="C36" s="26" t="s">
        <v>515</v>
      </c>
    </row>
    <row r="38" spans="2:3" x14ac:dyDescent="0.35">
      <c r="B38" s="366" t="s">
        <v>542</v>
      </c>
      <c r="C38" s="366"/>
    </row>
    <row r="39" spans="2:3" ht="43.5" x14ac:dyDescent="0.35">
      <c r="B39" s="1" t="s">
        <v>543</v>
      </c>
      <c r="C39" s="26" t="s">
        <v>426</v>
      </c>
    </row>
    <row r="40" spans="2:3" ht="43.5" x14ac:dyDescent="0.35">
      <c r="B40" s="1" t="s">
        <v>544</v>
      </c>
      <c r="C40" s="26" t="s">
        <v>158</v>
      </c>
    </row>
    <row r="41" spans="2:3" ht="43.5" x14ac:dyDescent="0.35">
      <c r="B41" s="1" t="s">
        <v>545</v>
      </c>
      <c r="C41" s="26" t="s">
        <v>159</v>
      </c>
    </row>
    <row r="42" spans="2:3" ht="43.5" x14ac:dyDescent="0.35">
      <c r="B42" s="1" t="s">
        <v>546</v>
      </c>
      <c r="C42" s="277" t="s">
        <v>54</v>
      </c>
    </row>
    <row r="43" spans="2:3" ht="39" x14ac:dyDescent="0.35">
      <c r="B43" s="1" t="s">
        <v>546</v>
      </c>
      <c r="C43" s="12" t="s">
        <v>176</v>
      </c>
    </row>
    <row r="44" spans="2:3" ht="43.5" x14ac:dyDescent="0.35">
      <c r="B44" s="1" t="s">
        <v>546</v>
      </c>
      <c r="C44" s="62" t="s">
        <v>78</v>
      </c>
    </row>
    <row r="46" spans="2:3" x14ac:dyDescent="0.35">
      <c r="B46" s="366" t="s">
        <v>547</v>
      </c>
      <c r="C46" s="366"/>
    </row>
    <row r="47" spans="2:3" ht="50.5" customHeight="1" x14ac:dyDescent="0.35">
      <c r="B47" s="1" t="s">
        <v>548</v>
      </c>
      <c r="C47" s="92" t="s">
        <v>160</v>
      </c>
    </row>
    <row r="48" spans="2:3" ht="39" customHeight="1" x14ac:dyDescent="0.35">
      <c r="B48" s="1" t="s">
        <v>549</v>
      </c>
      <c r="C48" s="178" t="s">
        <v>163</v>
      </c>
    </row>
    <row r="49" spans="2:3" ht="43.5" x14ac:dyDescent="0.35">
      <c r="B49" s="1" t="s">
        <v>550</v>
      </c>
      <c r="C49" s="178" t="s">
        <v>165</v>
      </c>
    </row>
    <row r="50" spans="2:3" ht="43.5" x14ac:dyDescent="0.35">
      <c r="B50" s="1" t="s">
        <v>546</v>
      </c>
      <c r="C50" s="178" t="s">
        <v>59</v>
      </c>
    </row>
    <row r="51" spans="2:3" ht="43.5" x14ac:dyDescent="0.35">
      <c r="B51" s="13" t="s">
        <v>558</v>
      </c>
      <c r="C51" s="278" t="s">
        <v>176</v>
      </c>
    </row>
    <row r="52" spans="2:3" x14ac:dyDescent="0.3">
      <c r="B52" s="13"/>
      <c r="C52" s="16"/>
    </row>
    <row r="53" spans="2:3" x14ac:dyDescent="0.35">
      <c r="B53" s="366" t="s">
        <v>554</v>
      </c>
      <c r="C53" s="366"/>
    </row>
    <row r="54" spans="2:3" ht="39" x14ac:dyDescent="0.35">
      <c r="B54" s="1" t="s">
        <v>809</v>
      </c>
      <c r="C54" s="12" t="s">
        <v>173</v>
      </c>
    </row>
    <row r="55" spans="2:3" ht="32.15" customHeight="1" x14ac:dyDescent="0.35">
      <c r="B55" s="1" t="s">
        <v>810</v>
      </c>
      <c r="C55" s="12" t="s">
        <v>551</v>
      </c>
    </row>
    <row r="56" spans="2:3" ht="26" x14ac:dyDescent="0.35">
      <c r="B56" s="1" t="s">
        <v>546</v>
      </c>
      <c r="C56" s="13" t="s">
        <v>517</v>
      </c>
    </row>
    <row r="57" spans="2:3" x14ac:dyDescent="0.35">
      <c r="C57" s="13"/>
    </row>
    <row r="58" spans="2:3" x14ac:dyDescent="0.35">
      <c r="B58" s="366" t="s">
        <v>555</v>
      </c>
      <c r="C58" s="366"/>
    </row>
    <row r="59" spans="2:3" ht="26" x14ac:dyDescent="0.35">
      <c r="B59" s="1" t="s">
        <v>556</v>
      </c>
      <c r="C59" s="13" t="s">
        <v>169</v>
      </c>
    </row>
    <row r="60" spans="2:3" ht="39" x14ac:dyDescent="0.35">
      <c r="B60" s="1" t="s">
        <v>557</v>
      </c>
      <c r="C60" s="13" t="s">
        <v>244</v>
      </c>
    </row>
    <row r="61" spans="2:3" ht="26" x14ac:dyDescent="0.3">
      <c r="B61" s="1" t="s">
        <v>559</v>
      </c>
      <c r="C61" s="16" t="s">
        <v>70</v>
      </c>
    </row>
    <row r="63" spans="2:3" x14ac:dyDescent="0.35">
      <c r="B63" s="366" t="s">
        <v>565</v>
      </c>
      <c r="C63" s="366"/>
    </row>
    <row r="64" spans="2:3" ht="26" x14ac:dyDescent="0.35">
      <c r="B64" s="1" t="s">
        <v>561</v>
      </c>
      <c r="C64" s="12" t="s">
        <v>157</v>
      </c>
    </row>
    <row r="65" spans="1:3" x14ac:dyDescent="0.35">
      <c r="B65" s="1" t="s">
        <v>566</v>
      </c>
      <c r="C65" s="21" t="s">
        <v>156</v>
      </c>
    </row>
    <row r="66" spans="1:3" ht="39" x14ac:dyDescent="0.35">
      <c r="B66" s="1" t="s">
        <v>562</v>
      </c>
      <c r="C66" s="12" t="s">
        <v>488</v>
      </c>
    </row>
    <row r="67" spans="1:3" ht="29" x14ac:dyDescent="0.35">
      <c r="B67" s="1" t="s">
        <v>563</v>
      </c>
      <c r="C67" s="13" t="s">
        <v>45</v>
      </c>
    </row>
    <row r="68" spans="1:3" ht="26" x14ac:dyDescent="0.35">
      <c r="B68" s="1" t="s">
        <v>564</v>
      </c>
      <c r="C68" s="13" t="s">
        <v>560</v>
      </c>
    </row>
    <row r="70" spans="1:3" ht="43.5" customHeight="1" x14ac:dyDescent="0.35">
      <c r="A70" s="8"/>
      <c r="B70" s="8"/>
    </row>
    <row r="71" spans="1:3" ht="233.15" customHeight="1" x14ac:dyDescent="0.35">
      <c r="A71" s="8"/>
      <c r="B71" s="8"/>
    </row>
    <row r="72" spans="1:3" ht="104.5" customHeight="1" x14ac:dyDescent="0.35">
      <c r="A72" s="8"/>
      <c r="B72" s="8"/>
    </row>
    <row r="73" spans="1:3" x14ac:dyDescent="0.35">
      <c r="B73" s="368"/>
      <c r="C73" s="368"/>
    </row>
  </sheetData>
  <mergeCells count="14">
    <mergeCell ref="A1:C1"/>
    <mergeCell ref="B63:C63"/>
    <mergeCell ref="B9:C9"/>
    <mergeCell ref="B5:C5"/>
    <mergeCell ref="B73:C73"/>
    <mergeCell ref="B7:C7"/>
    <mergeCell ref="B6:C6"/>
    <mergeCell ref="B21:C21"/>
    <mergeCell ref="B30:C30"/>
    <mergeCell ref="B38:C38"/>
    <mergeCell ref="B46:C46"/>
    <mergeCell ref="B53:C53"/>
    <mergeCell ref="B58:C58"/>
    <mergeCell ref="B8:C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tabColor theme="9" tint="-0.249977111117893"/>
  </sheetPr>
  <dimension ref="A1:M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F8" sqref="F8"/>
    </sheetView>
  </sheetViews>
  <sheetFormatPr defaultRowHeight="14.5" x14ac:dyDescent="0.35"/>
  <cols>
    <col min="1" max="1" width="34.81640625" customWidth="1"/>
    <col min="2" max="2" width="25.54296875" style="19" customWidth="1"/>
    <col min="3" max="3" width="38.81640625" customWidth="1"/>
    <col min="4" max="4" width="79.7265625" style="8" customWidth="1"/>
  </cols>
  <sheetData>
    <row r="1" spans="1:13" x14ac:dyDescent="0.35">
      <c r="A1" s="99" t="s">
        <v>14</v>
      </c>
      <c r="B1" s="100" t="s">
        <v>15</v>
      </c>
      <c r="C1" s="100" t="s">
        <v>18</v>
      </c>
      <c r="D1" s="100" t="s">
        <v>16</v>
      </c>
      <c r="E1" s="331"/>
      <c r="F1" s="331"/>
      <c r="G1" s="331"/>
      <c r="H1" s="331"/>
      <c r="I1" s="331"/>
      <c r="J1" s="331"/>
      <c r="K1" s="331"/>
      <c r="L1" s="116"/>
      <c r="M1" s="116"/>
    </row>
    <row r="2" spans="1:13" x14ac:dyDescent="0.35">
      <c r="A2" s="97" t="str">
        <f>Overview!A2</f>
        <v>A. BACKGROUND INFORMATION</v>
      </c>
      <c r="B2" s="3"/>
      <c r="C2" s="15"/>
      <c r="D2" s="15"/>
    </row>
    <row r="3" spans="1:13" ht="26" x14ac:dyDescent="0.35">
      <c r="A3" s="4" t="str">
        <f>Overview!A3</f>
        <v>Population (2019)</v>
      </c>
      <c r="B3" s="7">
        <f>Overview!H3</f>
        <v>290000</v>
      </c>
      <c r="C3" s="12" t="s">
        <v>174</v>
      </c>
      <c r="D3" s="15"/>
    </row>
    <row r="4" spans="1:13" ht="26" x14ac:dyDescent="0.35">
      <c r="A4" s="4" t="str">
        <f>Overview!A4</f>
        <v>GDP (2019) - in 2019 million USD</v>
      </c>
      <c r="B4" s="34">
        <f>Overview!H4</f>
        <v>930</v>
      </c>
      <c r="C4" s="12" t="s">
        <v>174</v>
      </c>
      <c r="D4" s="15"/>
    </row>
    <row r="5" spans="1:13" ht="24.65" customHeight="1" x14ac:dyDescent="0.35">
      <c r="A5" s="4" t="str">
        <f>Overview!A5</f>
        <v>GDP per capita (2019)</v>
      </c>
      <c r="B5" s="34">
        <f>Overview!H5</f>
        <v>3170</v>
      </c>
      <c r="C5" s="12" t="s">
        <v>174</v>
      </c>
      <c r="D5" s="15"/>
    </row>
    <row r="6" spans="1:13" x14ac:dyDescent="0.35">
      <c r="A6" s="4" t="str">
        <f>Overview!A6</f>
        <v>Exchange rate (22July 2020) - LCU per USD</v>
      </c>
      <c r="B6" s="34">
        <f>Overview!H6</f>
        <v>114.13</v>
      </c>
      <c r="C6" s="13" t="s">
        <v>87</v>
      </c>
      <c r="D6" s="8" t="s">
        <v>278</v>
      </c>
    </row>
    <row r="7" spans="1:13" ht="32.5" customHeight="1" x14ac:dyDescent="0.35">
      <c r="A7" s="4" t="str">
        <f>Overview!A7</f>
        <v>Fiscal balance (LCU million, 2020, pre-pandemic)</v>
      </c>
      <c r="B7" s="152">
        <f>Overview!H7</f>
        <v>-5073.3</v>
      </c>
      <c r="C7" s="13" t="s">
        <v>157</v>
      </c>
      <c r="D7" s="8" t="s">
        <v>405</v>
      </c>
    </row>
    <row r="8" spans="1:13" ht="51" customHeight="1" x14ac:dyDescent="0.35">
      <c r="A8" s="4" t="str">
        <f>Overview!A8</f>
        <v>Fiscal balance ( % of GDP, 2020, pre-pandemic)</v>
      </c>
      <c r="B8" s="88">
        <f>Overview!H8</f>
        <v>6.7000000000000004E-2</v>
      </c>
      <c r="C8" s="26" t="s">
        <v>39</v>
      </c>
      <c r="D8" s="15"/>
    </row>
    <row r="9" spans="1:13" ht="38.5" customHeight="1" x14ac:dyDescent="0.35">
      <c r="A9" s="4" t="str">
        <f>Overview!A9</f>
        <v>Debt (% GDP) (pre-COVID)</v>
      </c>
      <c r="B9" s="28">
        <f>Overview!H9</f>
        <v>0.53900000000000003</v>
      </c>
      <c r="C9" s="12" t="s">
        <v>431</v>
      </c>
      <c r="D9" s="15" t="s">
        <v>432</v>
      </c>
    </row>
    <row r="10" spans="1:13" x14ac:dyDescent="0.35">
      <c r="A10" s="4" t="str">
        <f>Overview!A10</f>
        <v>Local currency unit (LCU)</v>
      </c>
      <c r="B10" s="28" t="str">
        <f>Overview!H10</f>
        <v xml:space="preserve">Vanuatu vatu </v>
      </c>
      <c r="C10" s="16"/>
      <c r="D10" s="15"/>
    </row>
    <row r="11" spans="1:13" ht="26.5" x14ac:dyDescent="0.35">
      <c r="A11" s="4" t="str">
        <f>Overview!A11</f>
        <v>Fiscal year</v>
      </c>
      <c r="B11" s="28" t="str">
        <f>Overview!H11</f>
        <v>January to December</v>
      </c>
      <c r="C11" s="16" t="s">
        <v>239</v>
      </c>
      <c r="D11" s="15"/>
    </row>
    <row r="12" spans="1:13" ht="39.5" x14ac:dyDescent="0.35">
      <c r="A12" s="4" t="str">
        <f>Overview!A12</f>
        <v>Announcement month</v>
      </c>
      <c r="B12" s="28" t="str">
        <f>Overview!H12</f>
        <v>Apr 2020</v>
      </c>
      <c r="C12" s="16" t="s">
        <v>410</v>
      </c>
      <c r="D12" s="15" t="s">
        <v>411</v>
      </c>
    </row>
    <row r="13" spans="1:13" x14ac:dyDescent="0.35">
      <c r="A13" s="97" t="str">
        <f>Overview!A13</f>
        <v>B. ECONOMIC IMPACT</v>
      </c>
      <c r="B13" s="22"/>
      <c r="C13" s="16"/>
      <c r="D13" s="15"/>
    </row>
    <row r="14" spans="1:13" ht="49.5" customHeight="1" x14ac:dyDescent="0.35">
      <c r="A14" s="4" t="str">
        <f>Overview!A14</f>
        <v>Projected growth - pre-COVID</v>
      </c>
      <c r="B14" s="28">
        <f>Overview!H14</f>
        <v>3.7999999999999999E-2</v>
      </c>
      <c r="C14" s="12" t="s">
        <v>410</v>
      </c>
      <c r="D14" s="13" t="s">
        <v>655</v>
      </c>
    </row>
    <row r="15" spans="1:13" ht="32.5" customHeight="1" x14ac:dyDescent="0.35">
      <c r="A15" s="4" t="str">
        <f>Overview!A15</f>
        <v>Projected growth - post-COVID</v>
      </c>
      <c r="B15" s="28">
        <f>Overview!H15</f>
        <v>-9.8000000000000004E-2</v>
      </c>
      <c r="C15" s="26" t="s">
        <v>656</v>
      </c>
      <c r="D15" s="15" t="s">
        <v>657</v>
      </c>
    </row>
    <row r="16" spans="1:13" ht="50.5" customHeight="1" x14ac:dyDescent="0.35">
      <c r="A16" s="4" t="str">
        <f>Overview!A16</f>
        <v>GDP (2020) - current prices (LCU million) - pre COVID</v>
      </c>
      <c r="B16" s="40">
        <f>Overview!H16</f>
        <v>114458</v>
      </c>
      <c r="C16" s="12" t="s">
        <v>488</v>
      </c>
      <c r="D16" s="15" t="s">
        <v>489</v>
      </c>
    </row>
    <row r="17" spans="1:4" ht="45.65" customHeight="1" x14ac:dyDescent="0.35">
      <c r="A17" s="4" t="str">
        <f>Overview!A17</f>
        <v>GDP (2020) - current prices (LCU million)- post COVID</v>
      </c>
      <c r="B17" s="40">
        <f>Overview!H17</f>
        <v>108560</v>
      </c>
      <c r="C17" s="12" t="s">
        <v>488</v>
      </c>
      <c r="D17" s="15" t="s">
        <v>489</v>
      </c>
    </row>
    <row r="18" spans="1:4" ht="33.65" customHeight="1" x14ac:dyDescent="0.35">
      <c r="A18" s="4" t="str">
        <f>Overview!A18</f>
        <v>Projected revenue - pre-COVID (in million LCU)</v>
      </c>
      <c r="B18" s="81">
        <f>Overview!H18</f>
        <v>39584.300000000003</v>
      </c>
      <c r="C18" s="12" t="s">
        <v>157</v>
      </c>
      <c r="D18" s="13" t="s">
        <v>505</v>
      </c>
    </row>
    <row r="19" spans="1:4" ht="34" customHeight="1" x14ac:dyDescent="0.35">
      <c r="A19" s="4" t="str">
        <f>Overview!A19</f>
        <v>Projected revenue - post-COVID (in million LCU)</v>
      </c>
      <c r="B19" s="40"/>
      <c r="C19" s="16"/>
      <c r="D19" s="15"/>
    </row>
    <row r="20" spans="1:4" ht="25" customHeight="1" x14ac:dyDescent="0.35">
      <c r="A20" s="4" t="str">
        <f>Overview!A20</f>
        <v>Fall in domestic revenue as % of domestic revenue</v>
      </c>
      <c r="B20" s="40"/>
      <c r="C20" s="16"/>
      <c r="D20" s="15"/>
    </row>
    <row r="21" spans="1:4" ht="26.15" customHeight="1" x14ac:dyDescent="0.35">
      <c r="A21" s="4" t="str">
        <f>Overview!A21</f>
        <v>Debt (% GDP) (post-COVID)</v>
      </c>
      <c r="B21" s="55"/>
      <c r="C21" s="16"/>
      <c r="D21" s="15"/>
    </row>
    <row r="22" spans="1:4" ht="26.15" customHeight="1" x14ac:dyDescent="0.35">
      <c r="A22" s="4" t="str">
        <f>Overview!A22</f>
        <v>Risk of external debt distress (pre-COVID)</v>
      </c>
      <c r="B22" s="55" t="str">
        <f>Overview!H22</f>
        <v>Moderate</v>
      </c>
      <c r="C22" s="16" t="s">
        <v>467</v>
      </c>
      <c r="D22" s="13" t="s">
        <v>480</v>
      </c>
    </row>
    <row r="23" spans="1:4" ht="26.15" customHeight="1" x14ac:dyDescent="0.35">
      <c r="A23" s="4" t="str">
        <f>Overview!A23</f>
        <v>Risk of external debt distress (post-COVID)</v>
      </c>
      <c r="B23" s="55" t="str">
        <f>Overview!H23</f>
        <v>Moderate</v>
      </c>
      <c r="C23" s="16" t="s">
        <v>468</v>
      </c>
      <c r="D23" s="13" t="s">
        <v>481</v>
      </c>
    </row>
    <row r="24" spans="1:4" x14ac:dyDescent="0.35">
      <c r="A24" s="97" t="str">
        <f>Overview!A24</f>
        <v>C. STIMULUS PACKAGE - OVERALL SIZE</v>
      </c>
      <c r="B24" s="4"/>
      <c r="C24" s="10"/>
      <c r="D24" s="15"/>
    </row>
    <row r="25" spans="1:4" ht="163.5" customHeight="1" x14ac:dyDescent="0.35">
      <c r="A25" s="4" t="str">
        <f>Overview!A25</f>
        <v>Stimulus Package (in million LCU)</v>
      </c>
      <c r="B25" s="45">
        <f>Overview!H25</f>
        <v>5900</v>
      </c>
      <c r="C25" s="26" t="s">
        <v>95</v>
      </c>
      <c r="D25" s="13" t="s">
        <v>167</v>
      </c>
    </row>
    <row r="26" spans="1:4" ht="88" customHeight="1" x14ac:dyDescent="0.35">
      <c r="A26" s="4" t="str">
        <f>Overview!A26</f>
        <v>Stimulus Package (in million USD)</v>
      </c>
      <c r="B26" s="40">
        <f>Overview!H26</f>
        <v>51.695435030228687</v>
      </c>
      <c r="C26" s="12" t="s">
        <v>434</v>
      </c>
      <c r="D26" s="13" t="s">
        <v>128</v>
      </c>
    </row>
    <row r="27" spans="1:4" ht="43.5" customHeight="1" x14ac:dyDescent="0.35">
      <c r="A27" s="4" t="str">
        <f>Overview!A27</f>
        <v>Stimulus Package (% GDP)</v>
      </c>
      <c r="B27" s="55">
        <f>Overview!H27</f>
        <v>5.5586489279815791E-2</v>
      </c>
      <c r="C27" s="130" t="s">
        <v>291</v>
      </c>
      <c r="D27" s="130" t="s">
        <v>653</v>
      </c>
    </row>
    <row r="28" spans="1:4" x14ac:dyDescent="0.35">
      <c r="A28" s="3" t="str">
        <f>Overview!A28</f>
        <v>Stimulus per capita (USD per capita)</v>
      </c>
      <c r="B28" s="71">
        <f>Overview!H28</f>
        <v>178.26012079389204</v>
      </c>
      <c r="C28" s="10" t="s">
        <v>291</v>
      </c>
      <c r="D28" s="10" t="s">
        <v>654</v>
      </c>
    </row>
    <row r="29" spans="1:4" x14ac:dyDescent="0.35">
      <c r="A29" s="98" t="str">
        <f>Overview!A29</f>
        <v>D. FISCAL POLICY</v>
      </c>
      <c r="B29" s="72"/>
      <c r="C29" s="10"/>
      <c r="D29" s="15"/>
    </row>
    <row r="30" spans="1:4" x14ac:dyDescent="0.35">
      <c r="A30" s="101" t="str">
        <f>Overview!A30</f>
        <v>D1. TAX</v>
      </c>
      <c r="B30" s="73"/>
      <c r="C30" s="10"/>
      <c r="D30" s="15"/>
    </row>
    <row r="31" spans="1:4" ht="285" customHeight="1" x14ac:dyDescent="0.35">
      <c r="A31" s="3" t="str">
        <f>Overview!A31</f>
        <v>Tax deadline extension</v>
      </c>
      <c r="B31" s="74" t="str">
        <f>Overview!H31</f>
        <v>Yes</v>
      </c>
      <c r="C31" s="13" t="s">
        <v>45</v>
      </c>
      <c r="D31" s="13" t="s">
        <v>293</v>
      </c>
    </row>
    <row r="32" spans="1:4" x14ac:dyDescent="0.35">
      <c r="A32" s="3" t="str">
        <f>Overview!A32</f>
        <v>Priority processing of GST refunds</v>
      </c>
      <c r="B32" s="74" t="str">
        <f>Overview!H32</f>
        <v>No</v>
      </c>
      <c r="C32" s="10"/>
      <c r="D32" s="15"/>
    </row>
    <row r="33" spans="1:4" ht="330" customHeight="1" x14ac:dyDescent="0.35">
      <c r="A33" s="3" t="str">
        <f>Overview!A33</f>
        <v>Tax cuts</v>
      </c>
      <c r="B33" s="74" t="str">
        <f>Overview!H33</f>
        <v>Yes</v>
      </c>
      <c r="C33" s="13" t="s">
        <v>45</v>
      </c>
      <c r="D33" s="13" t="s">
        <v>293</v>
      </c>
    </row>
    <row r="34" spans="1:4" ht="42.65" customHeight="1" x14ac:dyDescent="0.35">
      <c r="A34" s="101" t="str">
        <f>Overview!A34</f>
        <v xml:space="preserve">D2. EXPENDITURE </v>
      </c>
      <c r="B34" s="74"/>
      <c r="C34" s="13"/>
      <c r="D34" s="13"/>
    </row>
    <row r="35" spans="1:4" ht="220.5" customHeight="1" x14ac:dyDescent="0.35">
      <c r="A35" s="4" t="str">
        <f>Overview!A35</f>
        <v>Additional expenditure (in million LCU)</v>
      </c>
      <c r="B35" s="74">
        <f>Overview!H35</f>
        <v>4200</v>
      </c>
      <c r="C35" s="26" t="s">
        <v>433</v>
      </c>
      <c r="D35" s="13" t="s">
        <v>46</v>
      </c>
    </row>
    <row r="36" spans="1:4" ht="23.5" customHeight="1" x14ac:dyDescent="0.35">
      <c r="A36" s="4" t="str">
        <f>Overview!A36</f>
        <v>Unemployment/cash benefits</v>
      </c>
      <c r="B36" s="74" t="str">
        <f>Overview!H36</f>
        <v>No</v>
      </c>
      <c r="C36" s="13"/>
      <c r="D36" s="13"/>
    </row>
    <row r="37" spans="1:4" ht="53.15" customHeight="1" x14ac:dyDescent="0.35">
      <c r="A37" s="4" t="str">
        <f>Overview!A37</f>
        <v>Expenditure (in million USD)</v>
      </c>
      <c r="B37" s="75">
        <f>Overview!H37</f>
        <v>36.80014019101025</v>
      </c>
      <c r="C37" s="12" t="s">
        <v>291</v>
      </c>
      <c r="D37" s="13" t="s">
        <v>291</v>
      </c>
    </row>
    <row r="38" spans="1:4" ht="80.150000000000006" customHeight="1" x14ac:dyDescent="0.35">
      <c r="A38" s="4" t="str">
        <f>Overview!A38</f>
        <v>Health expenditure (in million USD)</v>
      </c>
      <c r="B38" s="75">
        <f>Overview!H38</f>
        <v>0</v>
      </c>
      <c r="C38" s="12" t="s">
        <v>1104</v>
      </c>
      <c r="D38" s="13" t="s">
        <v>635</v>
      </c>
    </row>
    <row r="39" spans="1:4" ht="130.5" customHeight="1" x14ac:dyDescent="0.35">
      <c r="A39" s="4" t="str">
        <f>Overview!A39</f>
        <v>Food security expenditure (in million USD)</v>
      </c>
      <c r="B39" s="75">
        <f>Overview!H39</f>
        <v>0</v>
      </c>
      <c r="C39" s="12" t="s">
        <v>1104</v>
      </c>
      <c r="D39" s="13" t="s">
        <v>636</v>
      </c>
    </row>
    <row r="40" spans="1:4" ht="106.5" customHeight="1" x14ac:dyDescent="0.35">
      <c r="A40" s="4" t="str">
        <f>Overview!A40</f>
        <v>Safety net expenditure (in million USD)</v>
      </c>
      <c r="B40" s="75">
        <f>Overview!H40</f>
        <v>26.37</v>
      </c>
      <c r="C40" s="12" t="s">
        <v>156</v>
      </c>
      <c r="D40" s="13" t="s">
        <v>660</v>
      </c>
    </row>
    <row r="41" spans="1:4" ht="128.5" customHeight="1" x14ac:dyDescent="0.35">
      <c r="A41" s="4" t="str">
        <f>Overview!A41</f>
        <v>Business support expenditure (in million USD)</v>
      </c>
      <c r="B41" s="75">
        <f>Overview!H41</f>
        <v>3.504775256286691</v>
      </c>
      <c r="C41" s="12" t="s">
        <v>639</v>
      </c>
      <c r="D41" s="13" t="s">
        <v>659</v>
      </c>
    </row>
    <row r="42" spans="1:4" ht="21" customHeight="1" x14ac:dyDescent="0.35">
      <c r="A42" s="4" t="str">
        <f>Overview!A42</f>
        <v>Infrastructure expenditure (in million USD)</v>
      </c>
      <c r="B42" s="75">
        <f>Overview!H42</f>
        <v>0</v>
      </c>
      <c r="C42" s="12" t="s">
        <v>603</v>
      </c>
      <c r="D42" s="12" t="s">
        <v>603</v>
      </c>
    </row>
    <row r="43" spans="1:4" ht="29.5" customHeight="1" x14ac:dyDescent="0.35">
      <c r="A43" s="4" t="str">
        <f>Overview!A43</f>
        <v>Expenditure (% GDP)</v>
      </c>
      <c r="B43" s="76">
        <f>Overview!H43</f>
        <v>3.6694682765730659E-2</v>
      </c>
      <c r="C43" s="12" t="s">
        <v>291</v>
      </c>
      <c r="D43" s="13" t="s">
        <v>638</v>
      </c>
    </row>
    <row r="44" spans="1:4" ht="44.5" customHeight="1" x14ac:dyDescent="0.35">
      <c r="A44" s="4" t="str">
        <f>Overview!A44</f>
        <v>Expenditure per capita (USD per capita)</v>
      </c>
      <c r="B44" s="40">
        <f>Overview!H44</f>
        <v>126.89703514141466</v>
      </c>
      <c r="C44" s="12" t="s">
        <v>291</v>
      </c>
      <c r="D44" s="13" t="s">
        <v>613</v>
      </c>
    </row>
    <row r="45" spans="1:4" ht="23.5" customHeight="1" x14ac:dyDescent="0.35">
      <c r="A45" s="101" t="str">
        <f>Overview!A45</f>
        <v>D3. FINANCING</v>
      </c>
      <c r="B45" s="40" t="str">
        <f>Overview!H45</f>
        <v>No</v>
      </c>
      <c r="C45" s="12" t="s">
        <v>295</v>
      </c>
      <c r="D45" s="12" t="s">
        <v>294</v>
      </c>
    </row>
    <row r="46" spans="1:4" ht="32.15" customHeight="1" x14ac:dyDescent="0.35">
      <c r="A46" s="4" t="str">
        <f>Overview!A46</f>
        <v>Additional borrowing (in million LCU)</v>
      </c>
      <c r="B46" s="23">
        <f>Overview!H46</f>
        <v>0</v>
      </c>
      <c r="C46" s="116"/>
      <c r="D46" s="39"/>
    </row>
    <row r="47" spans="1:4" ht="32.15" customHeight="1" x14ac:dyDescent="0.35">
      <c r="A47" s="4" t="str">
        <f>Overview!A47</f>
        <v>Projected deficit (in million LCU)</v>
      </c>
      <c r="B47" s="153">
        <f>Overview!H47</f>
        <v>-5073.3</v>
      </c>
      <c r="C47" s="12" t="s">
        <v>295</v>
      </c>
      <c r="D47" s="12" t="s">
        <v>423</v>
      </c>
    </row>
    <row r="48" spans="1:4" ht="32.15" customHeight="1" x14ac:dyDescent="0.35">
      <c r="A48" s="4" t="str">
        <f>Overview!A48</f>
        <v>Fiscal balance (%GDP)</v>
      </c>
      <c r="B48" s="55">
        <f>Overview!H48</f>
        <v>-7.4279379157427938E-2</v>
      </c>
      <c r="C48" s="12" t="s">
        <v>295</v>
      </c>
      <c r="D48" s="12" t="s">
        <v>424</v>
      </c>
    </row>
    <row r="49" spans="1:4" x14ac:dyDescent="0.35">
      <c r="A49" s="97" t="str">
        <f>Overview!A49</f>
        <v>E.  SUPERANNUATION MEASURES</v>
      </c>
      <c r="B49" s="4"/>
      <c r="C49" s="10"/>
      <c r="D49" s="15"/>
    </row>
    <row r="50" spans="1:4" ht="95.15" customHeight="1" x14ac:dyDescent="0.35">
      <c r="A50" s="3" t="str">
        <f>Overview!A50</f>
        <v>Early access</v>
      </c>
      <c r="B50" s="74" t="str">
        <f>Overview!H50</f>
        <v>Yes</v>
      </c>
      <c r="C50" s="12" t="s">
        <v>104</v>
      </c>
      <c r="D50" s="13" t="s">
        <v>129</v>
      </c>
    </row>
    <row r="51" spans="1:4" ht="21.65" customHeight="1" x14ac:dyDescent="0.35">
      <c r="A51" s="3" t="str">
        <f>Overview!A51</f>
        <v>Deferred contributions</v>
      </c>
      <c r="B51" s="77" t="str">
        <f>Overview!H51</f>
        <v>No</v>
      </c>
      <c r="C51" s="12" t="s">
        <v>603</v>
      </c>
      <c r="D51" s="12" t="s">
        <v>603</v>
      </c>
    </row>
    <row r="52" spans="1:4" x14ac:dyDescent="0.35">
      <c r="A52" s="97" t="str">
        <f>Overview!A52</f>
        <v>F. BANK LENDING</v>
      </c>
      <c r="B52" s="78"/>
      <c r="C52" s="10"/>
      <c r="D52" s="15"/>
    </row>
    <row r="53" spans="1:4" x14ac:dyDescent="0.35">
      <c r="A53" s="3" t="str">
        <f>Overview!A53</f>
        <v>Credit line</v>
      </c>
      <c r="B53" s="36" t="str">
        <f>Overview!H53</f>
        <v>No</v>
      </c>
      <c r="C53" s="12" t="s">
        <v>603</v>
      </c>
      <c r="D53" s="12" t="s">
        <v>603</v>
      </c>
    </row>
    <row r="54" spans="1:4" x14ac:dyDescent="0.35">
      <c r="A54" s="3" t="str">
        <f>Overview!A54</f>
        <v>Loan repayment holiday</v>
      </c>
      <c r="B54" s="36" t="str">
        <f>Overview!H54</f>
        <v>No</v>
      </c>
      <c r="C54" s="12" t="s">
        <v>603</v>
      </c>
      <c r="D54" s="12" t="s">
        <v>603</v>
      </c>
    </row>
    <row r="55" spans="1:4" x14ac:dyDescent="0.35">
      <c r="A55" s="97" t="str">
        <f>Overview!A55</f>
        <v>G. MONETARY POLICY</v>
      </c>
      <c r="B55" s="36"/>
      <c r="C55" s="10"/>
      <c r="D55" s="15"/>
    </row>
    <row r="56" spans="1:4" x14ac:dyDescent="0.35">
      <c r="A56" s="4" t="str">
        <f>Overview!A56</f>
        <v>Monetary policy relaxed</v>
      </c>
      <c r="B56" s="36" t="str">
        <f>Overview!H56</f>
        <v>No</v>
      </c>
      <c r="C56" s="12" t="s">
        <v>603</v>
      </c>
      <c r="D56" s="12" t="s">
        <v>603</v>
      </c>
    </row>
    <row r="57" spans="1:4" x14ac:dyDescent="0.35">
      <c r="A57" s="3" t="str">
        <f>Overview!A57</f>
        <v>Cash Reserves requirement lowered</v>
      </c>
      <c r="B57" s="36" t="str">
        <f>Overview!H57</f>
        <v>No</v>
      </c>
      <c r="C57" s="12" t="s">
        <v>603</v>
      </c>
      <c r="D57" s="12" t="s">
        <v>603</v>
      </c>
    </row>
    <row r="58" spans="1:4" ht="34.5" customHeight="1" x14ac:dyDescent="0.35">
      <c r="A58" s="3" t="str">
        <f>Overview!A58</f>
        <v>Discount rate lowered</v>
      </c>
      <c r="B58" s="36" t="str">
        <f>Overview!H58</f>
        <v>Yes</v>
      </c>
      <c r="C58" s="12" t="s">
        <v>48</v>
      </c>
      <c r="D58" s="15" t="s">
        <v>49</v>
      </c>
    </row>
    <row r="59" spans="1:4" x14ac:dyDescent="0.35">
      <c r="A59" s="3" t="str">
        <f>Overview!A59</f>
        <v>Open market purchases</v>
      </c>
      <c r="B59" s="36" t="str">
        <f>Overview!H59</f>
        <v>No</v>
      </c>
      <c r="C59" s="10"/>
      <c r="D59" s="15"/>
    </row>
    <row r="60" spans="1:4" ht="99.65" customHeight="1" x14ac:dyDescent="0.35">
      <c r="A60" s="98" t="str">
        <f>Overview!A60</f>
        <v>H. EXCHANGE RATE/RESERVES POLICY (depreciation/appreciation between 1 March 2020 and 22 July 2020)</v>
      </c>
      <c r="B60" s="36" t="str">
        <f>Overview!H60</f>
        <v>Maintain exchange controls; 
Vatu has appreciated against USD by 4.3%.</v>
      </c>
      <c r="C60" s="26" t="s">
        <v>89</v>
      </c>
      <c r="D60" s="13" t="s">
        <v>232</v>
      </c>
    </row>
    <row r="61" spans="1:4" ht="76" customHeight="1" x14ac:dyDescent="0.35">
      <c r="A61" s="98" t="str">
        <f>Overview!A61</f>
        <v>I. EXTERNAL ASSISTANCE from outbreak to 12 August 2020 (in million USD)</v>
      </c>
      <c r="B61" s="25">
        <f>Overview!H61</f>
        <v>37.892000000000003</v>
      </c>
      <c r="C61" s="26" t="s">
        <v>95</v>
      </c>
      <c r="D61" s="13" t="s">
        <v>96</v>
      </c>
    </row>
    <row r="62" spans="1:4" ht="46.5" customHeight="1" x14ac:dyDescent="0.35">
      <c r="A62" s="72" t="str">
        <f>Overview!A62</f>
        <v>External assistance assumed at the time of the stimulus package (in million LCU)</v>
      </c>
      <c r="B62" s="25" t="str">
        <f>Overview!H62</f>
        <v>Not included</v>
      </c>
      <c r="C62" s="39" t="s">
        <v>156</v>
      </c>
      <c r="D62" s="13" t="s">
        <v>667</v>
      </c>
    </row>
    <row r="63" spans="1:4" ht="31.5" customHeight="1" x14ac:dyDescent="0.35">
      <c r="A63" s="4" t="str">
        <f>Overview!A63</f>
        <v>External assistance as % GDP</v>
      </c>
      <c r="B63" s="47">
        <f>Overview!H63</f>
        <v>3.7783413653916728E-2</v>
      </c>
      <c r="C63" s="26" t="s">
        <v>291</v>
      </c>
      <c r="D63" s="13" t="s">
        <v>658</v>
      </c>
    </row>
    <row r="64" spans="1:4" ht="124.5" customHeight="1" x14ac:dyDescent="0.35">
      <c r="A64" s="3" t="str">
        <f>Overview!A64</f>
        <v>ADB (in million USD)</v>
      </c>
      <c r="B64" s="12">
        <f>Overview!H64</f>
        <v>2.36</v>
      </c>
      <c r="C64" s="26" t="s">
        <v>290</v>
      </c>
      <c r="D64" s="13" t="s">
        <v>289</v>
      </c>
    </row>
    <row r="65" spans="1:4" ht="49" customHeight="1" x14ac:dyDescent="0.35">
      <c r="A65" s="3" t="str">
        <f>Overview!A65</f>
        <v>World Bank (in million USD)</v>
      </c>
      <c r="B65" s="6">
        <f>Overview!H65</f>
        <v>10</v>
      </c>
      <c r="C65" s="26" t="s">
        <v>97</v>
      </c>
      <c r="D65" s="15" t="s">
        <v>98</v>
      </c>
    </row>
    <row r="66" spans="1:4" ht="43.5" customHeight="1" x14ac:dyDescent="0.35">
      <c r="A66" s="3" t="str">
        <f>Overview!A66</f>
        <v>IMF (in million USD)</v>
      </c>
      <c r="B66" s="19">
        <f>Overview!H66</f>
        <v>0</v>
      </c>
      <c r="C66" s="26" t="s">
        <v>95</v>
      </c>
      <c r="D66" s="15" t="s">
        <v>603</v>
      </c>
    </row>
    <row r="67" spans="1:4" ht="93.65" customHeight="1" x14ac:dyDescent="0.35">
      <c r="A67" s="3" t="str">
        <f>Overview!A67</f>
        <v>Assistance from Australia (in million USD)</v>
      </c>
      <c r="B67" s="25">
        <f>Overview!H67</f>
        <v>13.6</v>
      </c>
      <c r="C67" s="26" t="s">
        <v>78</v>
      </c>
      <c r="D67" s="1" t="s">
        <v>279</v>
      </c>
    </row>
    <row r="68" spans="1:4" ht="400.5" customHeight="1" x14ac:dyDescent="0.35">
      <c r="A68" s="3" t="str">
        <f>Overview!A68</f>
        <v>Assistance from other countries and organisations (in million USD)</v>
      </c>
      <c r="B68" s="23">
        <f>Overview!H68</f>
        <v>11.932</v>
      </c>
      <c r="C68" s="26" t="s">
        <v>1105</v>
      </c>
      <c r="D68" s="13" t="s">
        <v>252</v>
      </c>
    </row>
    <row r="69" spans="1:4" x14ac:dyDescent="0.35">
      <c r="A69" s="3"/>
    </row>
    <row r="70" spans="1:4" x14ac:dyDescent="0.35">
      <c r="A70" s="79"/>
      <c r="B70" s="80"/>
    </row>
    <row r="71" spans="1:4" x14ac:dyDescent="0.35">
      <c r="A71" s="85"/>
      <c r="B71" s="86"/>
    </row>
  </sheetData>
  <phoneticPr fontId="14" type="noConversion"/>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Y94"/>
  <sheetViews>
    <sheetView workbookViewId="0">
      <selection activeCell="C8" sqref="C8"/>
    </sheetView>
  </sheetViews>
  <sheetFormatPr defaultRowHeight="14.5" x14ac:dyDescent="0.35"/>
  <cols>
    <col min="1" max="1" width="19" customWidth="1"/>
    <col min="2" max="2" width="14" customWidth="1"/>
  </cols>
  <sheetData>
    <row r="1" spans="1:25" x14ac:dyDescent="0.35">
      <c r="A1" s="238" t="s">
        <v>681</v>
      </c>
      <c r="C1" s="370" t="s">
        <v>264</v>
      </c>
      <c r="D1" s="370"/>
      <c r="E1" s="370"/>
      <c r="F1" s="370"/>
      <c r="H1" s="370" t="s">
        <v>269</v>
      </c>
      <c r="I1" s="370"/>
      <c r="J1" s="370"/>
      <c r="K1" s="370"/>
      <c r="M1" s="370" t="s">
        <v>266</v>
      </c>
      <c r="N1" s="370"/>
      <c r="O1" s="370"/>
      <c r="P1" s="239"/>
    </row>
    <row r="2" spans="1:25" ht="29" x14ac:dyDescent="0.35">
      <c r="A2" s="240" t="s">
        <v>682</v>
      </c>
      <c r="C2" s="231" t="s">
        <v>683</v>
      </c>
      <c r="D2" s="231" t="s">
        <v>684</v>
      </c>
      <c r="E2" s="231" t="s">
        <v>685</v>
      </c>
      <c r="F2" s="231" t="s">
        <v>686</v>
      </c>
      <c r="G2" s="141"/>
      <c r="H2" s="231" t="s">
        <v>683</v>
      </c>
      <c r="I2" s="231" t="s">
        <v>684</v>
      </c>
      <c r="J2" s="231" t="s">
        <v>685</v>
      </c>
      <c r="K2" s="231" t="s">
        <v>686</v>
      </c>
      <c r="L2" s="141"/>
      <c r="M2" s="231" t="s">
        <v>683</v>
      </c>
      <c r="N2" s="231" t="s">
        <v>684</v>
      </c>
      <c r="O2" s="231" t="s">
        <v>685</v>
      </c>
      <c r="P2" s="231" t="s">
        <v>686</v>
      </c>
    </row>
    <row r="3" spans="1:25" x14ac:dyDescent="0.35">
      <c r="A3" s="5"/>
      <c r="B3" t="s">
        <v>687</v>
      </c>
      <c r="C3">
        <f>C5-C4</f>
        <v>3020.6</v>
      </c>
      <c r="D3">
        <f>D5-D4</f>
        <v>2597.5</v>
      </c>
      <c r="E3">
        <f>E5-E4</f>
        <v>1528</v>
      </c>
      <c r="F3" t="s">
        <v>308</v>
      </c>
      <c r="H3">
        <f>H5-H4</f>
        <v>578.29999999999995</v>
      </c>
      <c r="I3">
        <f>I5-I4</f>
        <v>575.70000000000005</v>
      </c>
      <c r="J3">
        <f>J5-J4</f>
        <v>513.1</v>
      </c>
      <c r="K3" t="s">
        <v>308</v>
      </c>
      <c r="M3">
        <f>M5-M4</f>
        <v>272.7</v>
      </c>
      <c r="N3">
        <v>248.7</v>
      </c>
      <c r="O3">
        <v>265</v>
      </c>
      <c r="P3" t="s">
        <v>308</v>
      </c>
      <c r="Y3" t="s">
        <v>688</v>
      </c>
    </row>
    <row r="4" spans="1:25" x14ac:dyDescent="0.35">
      <c r="B4" t="s">
        <v>689</v>
      </c>
      <c r="C4">
        <v>122.1</v>
      </c>
      <c r="D4">
        <v>55.9</v>
      </c>
      <c r="E4">
        <v>100.8</v>
      </c>
      <c r="F4" t="s">
        <v>690</v>
      </c>
      <c r="H4">
        <v>223.7</v>
      </c>
      <c r="I4">
        <v>229.8</v>
      </c>
      <c r="J4">
        <v>249.6</v>
      </c>
      <c r="K4" t="s">
        <v>691</v>
      </c>
      <c r="M4">
        <v>212.5</v>
      </c>
      <c r="N4">
        <v>186.6</v>
      </c>
      <c r="O4">
        <v>247.9</v>
      </c>
      <c r="P4" t="s">
        <v>692</v>
      </c>
      <c r="W4">
        <f>248.7/205.7-1</f>
        <v>0.20904229460379198</v>
      </c>
      <c r="Y4" t="s">
        <v>693</v>
      </c>
    </row>
    <row r="5" spans="1:25" x14ac:dyDescent="0.35">
      <c r="B5" t="s">
        <v>694</v>
      </c>
      <c r="C5">
        <v>3142.7</v>
      </c>
      <c r="D5">
        <v>2653.4</v>
      </c>
      <c r="E5">
        <v>1628.8</v>
      </c>
      <c r="F5" t="s">
        <v>695</v>
      </c>
      <c r="H5">
        <v>802</v>
      </c>
      <c r="I5">
        <v>805.5</v>
      </c>
      <c r="J5">
        <v>762.7</v>
      </c>
      <c r="K5" t="s">
        <v>691</v>
      </c>
      <c r="M5">
        <v>485.2</v>
      </c>
      <c r="N5">
        <v>435.2</v>
      </c>
      <c r="O5">
        <v>512.9</v>
      </c>
      <c r="P5" t="s">
        <v>692</v>
      </c>
      <c r="Y5" t="s">
        <v>696</v>
      </c>
    </row>
    <row r="6" spans="1:25" x14ac:dyDescent="0.35">
      <c r="B6" t="s">
        <v>697</v>
      </c>
      <c r="C6">
        <v>3561.9</v>
      </c>
      <c r="D6">
        <v>3490.7</v>
      </c>
      <c r="E6">
        <v>3629.7</v>
      </c>
      <c r="F6" t="s">
        <v>695</v>
      </c>
      <c r="H6">
        <f>593.3+239.2</f>
        <v>832.5</v>
      </c>
      <c r="I6">
        <f>663.4+184.1</f>
        <v>847.5</v>
      </c>
      <c r="J6">
        <f>680.3+134.5</f>
        <v>814.8</v>
      </c>
      <c r="K6" t="s">
        <v>691</v>
      </c>
      <c r="M6">
        <f>352.2+96.6</f>
        <v>448.79999999999995</v>
      </c>
      <c r="N6">
        <f>396.9+55.2</f>
        <v>452.09999999999997</v>
      </c>
      <c r="O6">
        <f>495.8+54.5</f>
        <v>550.29999999999995</v>
      </c>
      <c r="P6" t="s">
        <v>692</v>
      </c>
      <c r="Y6" t="s">
        <v>698</v>
      </c>
    </row>
    <row r="7" spans="1:25" x14ac:dyDescent="0.35">
      <c r="B7" t="s">
        <v>1072</v>
      </c>
      <c r="C7">
        <f>C5-C6</f>
        <v>-419.20000000000027</v>
      </c>
      <c r="D7">
        <f>D5-D6</f>
        <v>-837.29999999999973</v>
      </c>
      <c r="E7">
        <f>E5-E6</f>
        <v>-2000.8999999999999</v>
      </c>
      <c r="F7" t="s">
        <v>308</v>
      </c>
      <c r="H7">
        <f>H5-H6</f>
        <v>-30.5</v>
      </c>
      <c r="I7">
        <f>I5-I6</f>
        <v>-42</v>
      </c>
      <c r="J7">
        <f>J5-J6</f>
        <v>-52.099999999999909</v>
      </c>
      <c r="K7" t="s">
        <v>308</v>
      </c>
      <c r="M7">
        <f>M5-M6</f>
        <v>36.400000000000034</v>
      </c>
      <c r="N7">
        <f>N5-N6</f>
        <v>-16.899999999999977</v>
      </c>
      <c r="O7">
        <f>O5-O6</f>
        <v>-37.399999999999977</v>
      </c>
      <c r="P7" t="s">
        <v>308</v>
      </c>
      <c r="Y7" t="s">
        <v>699</v>
      </c>
    </row>
    <row r="8" spans="1:25" x14ac:dyDescent="0.35">
      <c r="B8" t="s">
        <v>1073</v>
      </c>
      <c r="C8" s="32">
        <f>C7/C10</f>
        <v>-3.6026435428286617E-2</v>
      </c>
      <c r="D8" s="32">
        <f>D7/D10</f>
        <v>-8.1968496999481125E-2</v>
      </c>
      <c r="E8" s="32">
        <f>E7/E10</f>
        <v>-0.2020029681079826</v>
      </c>
      <c r="F8" t="s">
        <v>308</v>
      </c>
      <c r="H8" s="327">
        <f>2.7/100</f>
        <v>2.7000000000000003E-2</v>
      </c>
      <c r="I8" s="32">
        <f>-1.6/100</f>
        <v>-1.6E-2</v>
      </c>
      <c r="J8" s="32">
        <f>-2.3/100</f>
        <v>-2.3E-2</v>
      </c>
      <c r="K8" t="s">
        <v>700</v>
      </c>
      <c r="M8" s="32">
        <f>M7/M10</f>
        <v>3.3601033877965508E-2</v>
      </c>
      <c r="N8" s="32">
        <f>N7/N10</f>
        <v>-1.572970960536111E-2</v>
      </c>
      <c r="O8" s="32">
        <f>O7/O10</f>
        <v>-3.6275460717749737E-2</v>
      </c>
      <c r="P8" t="s">
        <v>308</v>
      </c>
    </row>
    <row r="9" spans="1:25" x14ac:dyDescent="0.35">
      <c r="B9" t="s">
        <v>701</v>
      </c>
      <c r="C9">
        <v>49.3</v>
      </c>
      <c r="D9">
        <v>65.599999999999994</v>
      </c>
      <c r="E9">
        <v>83.4</v>
      </c>
      <c r="F9" t="s">
        <v>702</v>
      </c>
      <c r="H9">
        <v>48</v>
      </c>
      <c r="I9">
        <v>48</v>
      </c>
      <c r="J9">
        <v>44</v>
      </c>
      <c r="K9" t="s">
        <v>700</v>
      </c>
      <c r="M9">
        <v>43.1</v>
      </c>
      <c r="N9">
        <v>46.1</v>
      </c>
      <c r="O9">
        <v>49</v>
      </c>
      <c r="P9" t="s">
        <v>703</v>
      </c>
    </row>
    <row r="10" spans="1:25" x14ac:dyDescent="0.35">
      <c r="B10" t="s">
        <v>704</v>
      </c>
      <c r="C10">
        <v>11635.9</v>
      </c>
      <c r="D10">
        <v>10214.9</v>
      </c>
      <c r="E10">
        <v>9905.2999999999993</v>
      </c>
      <c r="F10" t="s">
        <v>705</v>
      </c>
      <c r="H10">
        <v>2227</v>
      </c>
      <c r="I10">
        <v>2238</v>
      </c>
      <c r="J10">
        <v>2258</v>
      </c>
      <c r="K10" t="s">
        <v>706</v>
      </c>
      <c r="M10">
        <v>1083.3</v>
      </c>
      <c r="N10">
        <v>1074.4000000000001</v>
      </c>
      <c r="O10">
        <v>1031</v>
      </c>
      <c r="P10" t="s">
        <v>707</v>
      </c>
    </row>
    <row r="11" spans="1:25" x14ac:dyDescent="0.35">
      <c r="B11" t="s">
        <v>708</v>
      </c>
      <c r="C11">
        <v>3.1</v>
      </c>
      <c r="D11">
        <v>-1.3</v>
      </c>
      <c r="E11">
        <v>-21.7</v>
      </c>
      <c r="F11" t="s">
        <v>709</v>
      </c>
      <c r="H11">
        <v>3.5</v>
      </c>
      <c r="I11">
        <v>-3.3</v>
      </c>
      <c r="J11">
        <v>-2</v>
      </c>
      <c r="K11" t="s">
        <v>700</v>
      </c>
      <c r="M11">
        <v>0.7</v>
      </c>
      <c r="N11">
        <v>-2.9</v>
      </c>
      <c r="O11">
        <v>-5.8</v>
      </c>
      <c r="P11" t="s">
        <v>707</v>
      </c>
    </row>
    <row r="12" spans="1:25" x14ac:dyDescent="0.35">
      <c r="B12" s="241" t="s">
        <v>710</v>
      </c>
      <c r="C12" s="241">
        <v>-0.9</v>
      </c>
      <c r="D12" s="241">
        <v>1</v>
      </c>
      <c r="E12" s="241">
        <v>1.4</v>
      </c>
      <c r="F12" s="241" t="s">
        <v>707</v>
      </c>
      <c r="G12" s="241"/>
      <c r="H12" s="241">
        <v>2.2000000000000002</v>
      </c>
      <c r="I12" s="241">
        <v>3</v>
      </c>
      <c r="J12" s="241">
        <v>2.8</v>
      </c>
      <c r="K12" t="s">
        <v>706</v>
      </c>
      <c r="L12" s="241"/>
      <c r="M12" s="241">
        <v>4</v>
      </c>
      <c r="N12" s="241">
        <v>3.1</v>
      </c>
      <c r="O12" s="241">
        <v>3.1</v>
      </c>
      <c r="P12" t="s">
        <v>707</v>
      </c>
    </row>
    <row r="13" spans="1:25" ht="58.5" customHeight="1" x14ac:dyDescent="0.35">
      <c r="C13" s="371" t="s">
        <v>711</v>
      </c>
      <c r="D13" s="371"/>
      <c r="E13" s="371"/>
      <c r="F13" s="371"/>
      <c r="H13" s="371" t="s">
        <v>712</v>
      </c>
      <c r="I13" s="371"/>
      <c r="J13" s="371"/>
      <c r="K13" s="371"/>
      <c r="M13" s="371" t="s">
        <v>713</v>
      </c>
      <c r="N13" s="371"/>
      <c r="O13" s="371"/>
      <c r="P13" s="371"/>
    </row>
    <row r="14" spans="1:25" x14ac:dyDescent="0.35">
      <c r="E14" s="32"/>
      <c r="H14" t="s">
        <v>1071</v>
      </c>
    </row>
    <row r="15" spans="1:25" x14ac:dyDescent="0.35">
      <c r="A15" t="s">
        <v>184</v>
      </c>
    </row>
    <row r="16" spans="1:25" x14ac:dyDescent="0.35">
      <c r="A16" t="s">
        <v>714</v>
      </c>
    </row>
    <row r="17" spans="1:1" x14ac:dyDescent="0.35">
      <c r="A17" t="s">
        <v>715</v>
      </c>
    </row>
    <row r="18" spans="1:1" x14ac:dyDescent="0.35">
      <c r="A18" t="s">
        <v>716</v>
      </c>
    </row>
    <row r="20" spans="1:1" x14ac:dyDescent="0.35">
      <c r="A20" t="s">
        <v>717</v>
      </c>
    </row>
    <row r="21" spans="1:1" x14ac:dyDescent="0.35">
      <c r="A21" t="s">
        <v>718</v>
      </c>
    </row>
    <row r="22" spans="1:1" x14ac:dyDescent="0.35">
      <c r="A22" t="s">
        <v>719</v>
      </c>
    </row>
    <row r="23" spans="1:1" x14ac:dyDescent="0.35">
      <c r="A23" t="s">
        <v>720</v>
      </c>
    </row>
    <row r="71" spans="13:13" x14ac:dyDescent="0.35">
      <c r="M71">
        <f>2.75/2.13</f>
        <v>1.2910798122065728</v>
      </c>
    </row>
    <row r="94" spans="4:4" x14ac:dyDescent="0.35">
      <c r="D94" s="141" t="s">
        <v>721</v>
      </c>
    </row>
  </sheetData>
  <mergeCells count="6">
    <mergeCell ref="C1:F1"/>
    <mergeCell ref="H1:K1"/>
    <mergeCell ref="M1:O1"/>
    <mergeCell ref="C13:F13"/>
    <mergeCell ref="H13:K13"/>
    <mergeCell ref="M13:P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O53"/>
  <sheetViews>
    <sheetView topLeftCell="A4" workbookViewId="0">
      <selection activeCell="C40" sqref="C40"/>
    </sheetView>
  </sheetViews>
  <sheetFormatPr defaultRowHeight="14.5" x14ac:dyDescent="0.35"/>
  <cols>
    <col min="2" max="2" width="13.453125" bestFit="1" customWidth="1"/>
  </cols>
  <sheetData>
    <row r="1" spans="1:14" x14ac:dyDescent="0.35">
      <c r="A1" t="s">
        <v>722</v>
      </c>
      <c r="C1" s="372" t="s">
        <v>542</v>
      </c>
      <c r="D1" s="373"/>
      <c r="E1" s="373"/>
      <c r="F1" s="374"/>
      <c r="G1" s="375" t="s">
        <v>555</v>
      </c>
      <c r="H1" s="376"/>
      <c r="I1" s="376"/>
      <c r="J1" s="377"/>
      <c r="K1" s="378" t="s">
        <v>569</v>
      </c>
      <c r="L1" s="379"/>
      <c r="M1" s="379"/>
      <c r="N1" s="380"/>
    </row>
    <row r="2" spans="1:14" x14ac:dyDescent="0.35">
      <c r="B2" t="s">
        <v>723</v>
      </c>
      <c r="C2" s="242">
        <v>1</v>
      </c>
      <c r="D2" s="243">
        <f>C2*(1+'Budget 2020-21 data'!I12/100)</f>
        <v>1.03</v>
      </c>
      <c r="E2" s="243">
        <f>D2*(1+'Budget 2020-21 data'!J12/100)</f>
        <v>1.05884</v>
      </c>
      <c r="F2" s="244"/>
      <c r="G2" s="242">
        <v>1</v>
      </c>
      <c r="H2" s="243">
        <f>G2*(1+'Budget 2020-21 data'!N12/100)</f>
        <v>1.0309999999999999</v>
      </c>
      <c r="I2" s="243">
        <f>H2*(1+'Budget 2020-21 data'!O12/100)</f>
        <v>1.0629609999999998</v>
      </c>
      <c r="J2" s="244"/>
      <c r="K2" s="242">
        <v>1</v>
      </c>
      <c r="L2" s="243">
        <f>K2*(1+'Budget 2020-21 data'!D12/100)</f>
        <v>1.01</v>
      </c>
      <c r="M2" s="243">
        <f>L2*(1+'Budget 2020-21 data'!E12/100)</f>
        <v>1.0241400000000001</v>
      </c>
      <c r="N2" s="244"/>
    </row>
    <row r="3" spans="1:14" x14ac:dyDescent="0.35">
      <c r="B3" t="str">
        <f>[1]Budget!B3</f>
        <v>Own revenue</v>
      </c>
      <c r="C3" s="242">
        <f>'Budget 2020-21 data'!H3/C$2</f>
        <v>578.29999999999995</v>
      </c>
      <c r="D3" s="242">
        <f>'Budget 2020-21 data'!I3/D$2</f>
        <v>558.93203883495153</v>
      </c>
      <c r="E3" s="242">
        <f>'Budget 2020-21 data'!J3/E$2</f>
        <v>484.58690642590005</v>
      </c>
      <c r="F3" s="245">
        <f>E3/C3-1</f>
        <v>-0.16204927126768098</v>
      </c>
      <c r="G3" s="242">
        <f>'Budget 2020-21 data'!M3/G$2</f>
        <v>272.7</v>
      </c>
      <c r="H3" s="242">
        <f>'Budget 2020-21 data'!N3/H$2</f>
        <v>241.22211445198838</v>
      </c>
      <c r="I3" s="242">
        <f>'Budget 2020-21 data'!O3/I$2</f>
        <v>249.30359627493394</v>
      </c>
      <c r="J3" s="245">
        <f>I3/G3-1</f>
        <v>-8.5795393197895309E-2</v>
      </c>
      <c r="K3" s="242">
        <f>'Budget 2020-21 data'!C3/K$2</f>
        <v>3020.6</v>
      </c>
      <c r="L3" s="242">
        <f>'Budget 2020-21 data'!D3/L$2</f>
        <v>2571.7821782178216</v>
      </c>
      <c r="M3" s="242">
        <f>'Budget 2020-21 data'!E3/M$2</f>
        <v>1491.9835178784149</v>
      </c>
      <c r="N3" s="245">
        <f>M3/K3-1</f>
        <v>-0.50606385556564426</v>
      </c>
    </row>
    <row r="4" spans="1:14" x14ac:dyDescent="0.35">
      <c r="B4" t="str">
        <f>[1]Budget!B4</f>
        <v>Grants</v>
      </c>
      <c r="C4" s="242">
        <f>'Budget 2020-21 data'!H4/C$2</f>
        <v>223.7</v>
      </c>
      <c r="D4" s="242">
        <f>'Budget 2020-21 data'!I4/D$2</f>
        <v>223.10679611650485</v>
      </c>
      <c r="E4" s="242">
        <f>'Budget 2020-21 data'!J4/E$2</f>
        <v>235.72966642741113</v>
      </c>
      <c r="F4" s="245">
        <f>E4/C4-1</f>
        <v>5.3775889259772613E-2</v>
      </c>
      <c r="G4" s="242">
        <f>'Budget 2020-21 data'!M4/G$2</f>
        <v>212.5</v>
      </c>
      <c r="H4" s="242">
        <f>'Budget 2020-21 data'!N4/H$2</f>
        <v>180.98933074684774</v>
      </c>
      <c r="I4" s="242">
        <f>'Budget 2020-21 data'!O4/I$2</f>
        <v>233.21645855304197</v>
      </c>
      <c r="J4" s="245">
        <f>I4/G4-1</f>
        <v>9.7489216720197502E-2</v>
      </c>
      <c r="K4" s="242">
        <f>'Budget 2020-21 data'!C4/K$2</f>
        <v>122.1</v>
      </c>
      <c r="L4" s="242">
        <f>'Budget 2020-21 data'!D4/L$2</f>
        <v>55.346534653465348</v>
      </c>
      <c r="M4" s="242">
        <f>'Budget 2020-21 data'!E4/M$2</f>
        <v>98.42404358779072</v>
      </c>
      <c r="N4" s="245">
        <f>M4/K4-1</f>
        <v>-0.19390627692227091</v>
      </c>
    </row>
    <row r="5" spans="1:14" x14ac:dyDescent="0.35">
      <c r="B5" t="str">
        <f>[1]Budget!B5</f>
        <v>Total revenue</v>
      </c>
      <c r="C5" s="242">
        <f>'Budget 2020-21 data'!H5/C$2</f>
        <v>802</v>
      </c>
      <c r="D5" s="242">
        <f>'Budget 2020-21 data'!I5/D$2</f>
        <v>782.03883495145624</v>
      </c>
      <c r="E5" s="242">
        <f>'Budget 2020-21 data'!J5/E$2</f>
        <v>720.31657285331119</v>
      </c>
      <c r="F5" s="245">
        <f>E5/C5-1</f>
        <v>-0.10184965978390126</v>
      </c>
      <c r="G5" s="242">
        <f>'Budget 2020-21 data'!M5/G$2</f>
        <v>485.2</v>
      </c>
      <c r="H5" s="242">
        <f>'Budget 2020-21 data'!N5/H$2</f>
        <v>422.11445198836083</v>
      </c>
      <c r="I5" s="242">
        <f>'Budget 2020-21 data'!O5/I$2</f>
        <v>482.52005482797586</v>
      </c>
      <c r="J5" s="245">
        <f>I5/G5-1</f>
        <v>-5.5233824650126051E-3</v>
      </c>
      <c r="K5" s="242">
        <f>'Budget 2020-21 data'!C5/K$2</f>
        <v>3142.7</v>
      </c>
      <c r="L5" s="242">
        <f>'Budget 2020-21 data'!D5/L$2</f>
        <v>2627.128712871287</v>
      </c>
      <c r="M5" s="242">
        <f>'Budget 2020-21 data'!E5/M$2</f>
        <v>1590.4075614662056</v>
      </c>
      <c r="N5" s="245">
        <f>M5/K5-1</f>
        <v>-0.49393592723893287</v>
      </c>
    </row>
    <row r="6" spans="1:14" x14ac:dyDescent="0.35">
      <c r="B6" t="str">
        <f>[1]Budget!B6</f>
        <v>Expenditure</v>
      </c>
      <c r="C6" s="246">
        <f>'Budget 2020-21 data'!H6/C$2</f>
        <v>832.5</v>
      </c>
      <c r="D6" s="246">
        <f>'Budget 2020-21 data'!I6/D$2</f>
        <v>822.81553398058247</v>
      </c>
      <c r="E6" s="246">
        <f>'Budget 2020-21 data'!J6/E$2</f>
        <v>769.52136300101995</v>
      </c>
      <c r="F6" s="247">
        <f>E6/C6-1</f>
        <v>-7.5650014413189304E-2</v>
      </c>
      <c r="G6" s="246">
        <f>'Budget 2020-21 data'!M6/G$2</f>
        <v>448.79999999999995</v>
      </c>
      <c r="H6" s="246">
        <f>'Budget 2020-21 data'!N6/H$2</f>
        <v>438.50630455868088</v>
      </c>
      <c r="I6" s="246">
        <f>'Budget 2020-21 data'!O6/I$2</f>
        <v>517.70478879281563</v>
      </c>
      <c r="J6" s="247">
        <f>I6/G6-1</f>
        <v>0.15353116932445565</v>
      </c>
      <c r="K6" s="246">
        <f>'Budget 2020-21 data'!C6/K$2</f>
        <v>3561.9</v>
      </c>
      <c r="L6" s="246">
        <f>'Budget 2020-21 data'!D6/L$2</f>
        <v>3456.1386138613861</v>
      </c>
      <c r="M6" s="246">
        <f>'Budget 2020-21 data'!E6/M$2</f>
        <v>3544.1443552639284</v>
      </c>
      <c r="N6" s="247">
        <f>M6/K6-1</f>
        <v>-4.9848801864375014E-3</v>
      </c>
    </row>
    <row r="7" spans="1:14" x14ac:dyDescent="0.35">
      <c r="L7">
        <f>L5/K5-1</f>
        <v>-0.16405361222156511</v>
      </c>
      <c r="M7">
        <f>M5/L5-1</f>
        <v>-0.39462137744747583</v>
      </c>
    </row>
    <row r="9" spans="1:14" x14ac:dyDescent="0.35">
      <c r="A9" s="141" t="s">
        <v>708</v>
      </c>
      <c r="C9" t="s">
        <v>724</v>
      </c>
      <c r="D9" t="s">
        <v>725</v>
      </c>
      <c r="E9" t="s">
        <v>726</v>
      </c>
    </row>
    <row r="10" spans="1:14" x14ac:dyDescent="0.35">
      <c r="B10" t="s">
        <v>269</v>
      </c>
      <c r="C10">
        <f>'Budget 2020-21 data'!H11</f>
        <v>3.5</v>
      </c>
      <c r="D10">
        <f>'Budget 2020-21 data'!I11</f>
        <v>-3.3</v>
      </c>
      <c r="E10">
        <f>'Budget 2020-21 data'!J11</f>
        <v>-2</v>
      </c>
    </row>
    <row r="11" spans="1:14" x14ac:dyDescent="0.35">
      <c r="B11" t="s">
        <v>266</v>
      </c>
      <c r="C11">
        <f>'Budget 2020-21 data'!M11</f>
        <v>0.7</v>
      </c>
      <c r="D11">
        <f>'Budget 2020-21 data'!N11</f>
        <v>-2.9</v>
      </c>
      <c r="E11">
        <f>'Budget 2020-21 data'!O11</f>
        <v>-5.8</v>
      </c>
    </row>
    <row r="12" spans="1:14" x14ac:dyDescent="0.35">
      <c r="B12" t="s">
        <v>264</v>
      </c>
      <c r="C12">
        <f>'Budget 2020-21 data'!C11</f>
        <v>3.1</v>
      </c>
      <c r="D12">
        <f>'Budget 2020-21 data'!D11</f>
        <v>-1.3</v>
      </c>
      <c r="E12">
        <f>'Budget 2020-21 data'!E11</f>
        <v>-21.7</v>
      </c>
    </row>
    <row r="14" spans="1:14" x14ac:dyDescent="0.35">
      <c r="A14" s="141" t="s">
        <v>687</v>
      </c>
      <c r="C14" t="str">
        <f>C9</f>
        <v>18/19</v>
      </c>
      <c r="D14" t="str">
        <f>D9</f>
        <v>19/20</v>
      </c>
      <c r="E14" t="str">
        <f>E9</f>
        <v>20/21</v>
      </c>
    </row>
    <row r="15" spans="1:14" x14ac:dyDescent="0.35">
      <c r="B15" t="s">
        <v>269</v>
      </c>
      <c r="C15">
        <f>C3/$C3</f>
        <v>1</v>
      </c>
      <c r="D15">
        <f>D3/$C3</f>
        <v>0.96650879964542902</v>
      </c>
      <c r="E15">
        <f>E3/$C3</f>
        <v>0.83795072873231902</v>
      </c>
    </row>
    <row r="16" spans="1:14" x14ac:dyDescent="0.35">
      <c r="B16" t="s">
        <v>266</v>
      </c>
      <c r="C16">
        <f>G3/$G3</f>
        <v>1</v>
      </c>
      <c r="D16">
        <f>H3/$G3</f>
        <v>0.88456954327828519</v>
      </c>
      <c r="E16">
        <f>I3/$G3</f>
        <v>0.91420460680210469</v>
      </c>
    </row>
    <row r="17" spans="1:15" x14ac:dyDescent="0.35">
      <c r="B17" t="s">
        <v>264</v>
      </c>
      <c r="C17">
        <f>K3/$K3</f>
        <v>1</v>
      </c>
      <c r="D17">
        <f>L3/$K3</f>
        <v>0.85141434755274503</v>
      </c>
      <c r="E17">
        <f>M3/$K3</f>
        <v>0.49393614443435574</v>
      </c>
      <c r="G17" s="141" t="s">
        <v>1074</v>
      </c>
      <c r="O17" s="141" t="s">
        <v>708</v>
      </c>
    </row>
    <row r="18" spans="1:15" x14ac:dyDescent="0.35">
      <c r="A18" s="141" t="s">
        <v>727</v>
      </c>
      <c r="C18" t="str">
        <f>C14</f>
        <v>18/19</v>
      </c>
      <c r="D18" t="str">
        <f>D14</f>
        <v>19/20</v>
      </c>
      <c r="E18" t="str">
        <f>E14</f>
        <v>20/21</v>
      </c>
      <c r="N18" s="141"/>
    </row>
    <row r="19" spans="1:15" x14ac:dyDescent="0.35">
      <c r="B19" t="s">
        <v>269</v>
      </c>
      <c r="C19" s="150">
        <f>C4/$C3</f>
        <v>0.38682344803735086</v>
      </c>
      <c r="D19" s="150">
        <f>D4/$C3</f>
        <v>0.38579767614820137</v>
      </c>
      <c r="E19" s="150">
        <f>E4/$C3</f>
        <v>0.40762522294209086</v>
      </c>
    </row>
    <row r="20" spans="1:15" x14ac:dyDescent="0.35">
      <c r="B20" t="s">
        <v>266</v>
      </c>
      <c r="C20" s="150">
        <f>G4/$G3</f>
        <v>0.77924459112577926</v>
      </c>
      <c r="D20" s="150">
        <f>H4/$G3</f>
        <v>0.66369391546332146</v>
      </c>
      <c r="E20" s="150">
        <f>I4/$G3</f>
        <v>0.85521253594808211</v>
      </c>
    </row>
    <row r="21" spans="1:15" x14ac:dyDescent="0.35">
      <c r="B21" t="s">
        <v>264</v>
      </c>
      <c r="C21" s="150">
        <f>K4/$K3</f>
        <v>4.042243262927895E-2</v>
      </c>
      <c r="D21" s="150">
        <f>L4/$K3</f>
        <v>1.8323026767352629E-2</v>
      </c>
      <c r="E21" s="150">
        <f>M4/$K3</f>
        <v>3.2584269213994148E-2</v>
      </c>
    </row>
    <row r="22" spans="1:15" x14ac:dyDescent="0.35">
      <c r="A22" s="141" t="s">
        <v>728</v>
      </c>
      <c r="C22" t="str">
        <f>C18</f>
        <v>18/19</v>
      </c>
      <c r="D22" t="str">
        <f>D18</f>
        <v>19/20</v>
      </c>
      <c r="E22" t="str">
        <f>E18</f>
        <v>20/21</v>
      </c>
    </row>
    <row r="23" spans="1:15" x14ac:dyDescent="0.35">
      <c r="B23" t="str">
        <f>B19</f>
        <v>Samoa</v>
      </c>
      <c r="C23" s="32">
        <f>-'Budget 2020-21 data'!H8</f>
        <v>-2.7000000000000003E-2</v>
      </c>
      <c r="D23" s="32">
        <f>-'Budget 2020-21 data'!I8</f>
        <v>1.6E-2</v>
      </c>
      <c r="E23" s="32">
        <f>-'Budget 2020-21 data'!J8</f>
        <v>2.3E-2</v>
      </c>
    </row>
    <row r="24" spans="1:15" x14ac:dyDescent="0.35">
      <c r="B24" t="str">
        <f>B20</f>
        <v>Tonga</v>
      </c>
      <c r="C24" s="32">
        <f>-'Budget 2020-21 data'!M8</f>
        <v>-3.3601033877965508E-2</v>
      </c>
      <c r="D24" s="32">
        <f>-'Budget 2020-21 data'!N8</f>
        <v>1.572970960536111E-2</v>
      </c>
      <c r="E24" s="32">
        <f>-'Budget 2020-21 data'!O8</f>
        <v>3.6275460717749737E-2</v>
      </c>
    </row>
    <row r="25" spans="1:15" x14ac:dyDescent="0.35">
      <c r="B25" t="str">
        <f>B21</f>
        <v>Fiji</v>
      </c>
      <c r="C25" s="32">
        <f>-'Budget 2020-21 data'!C8</f>
        <v>3.6026435428286617E-2</v>
      </c>
      <c r="D25" s="32">
        <f>-'Budget 2020-21 data'!D8</f>
        <v>8.1968496999481125E-2</v>
      </c>
      <c r="E25" s="32">
        <f>-'Budget 2020-21 data'!E8</f>
        <v>0.2020029681079826</v>
      </c>
    </row>
    <row r="26" spans="1:15" x14ac:dyDescent="0.35">
      <c r="A26" s="141" t="s">
        <v>729</v>
      </c>
      <c r="C26" t="str">
        <f>C22</f>
        <v>18/19</v>
      </c>
      <c r="D26" t="str">
        <f>D22</f>
        <v>19/20</v>
      </c>
      <c r="E26" t="str">
        <f>E22</f>
        <v>20/21</v>
      </c>
    </row>
    <row r="27" spans="1:15" x14ac:dyDescent="0.35">
      <c r="B27" t="str">
        <f>B23</f>
        <v>Samoa</v>
      </c>
      <c r="C27">
        <f>'Budget 2020-21 data'!H9</f>
        <v>48</v>
      </c>
      <c r="D27">
        <f>'Budget 2020-21 data'!I9</f>
        <v>48</v>
      </c>
      <c r="E27">
        <f>'Budget 2020-21 data'!J9</f>
        <v>44</v>
      </c>
    </row>
    <row r="28" spans="1:15" x14ac:dyDescent="0.35">
      <c r="B28" t="str">
        <f>B24</f>
        <v>Tonga</v>
      </c>
      <c r="C28">
        <f>'Budget 2020-21 data'!M9</f>
        <v>43.1</v>
      </c>
      <c r="D28">
        <f>'Budget 2020-21 data'!N9</f>
        <v>46.1</v>
      </c>
      <c r="E28">
        <f>'Budget 2020-21 data'!O9</f>
        <v>49</v>
      </c>
    </row>
    <row r="29" spans="1:15" x14ac:dyDescent="0.35">
      <c r="B29" t="str">
        <f>B25</f>
        <v>Fiji</v>
      </c>
      <c r="C29">
        <f>'Budget 2020-21 data'!C9</f>
        <v>49.3</v>
      </c>
      <c r="D29">
        <f>'Budget 2020-21 data'!D9</f>
        <v>65.599999999999994</v>
      </c>
      <c r="E29">
        <f>'Budget 2020-21 data'!E9</f>
        <v>83.4</v>
      </c>
    </row>
    <row r="30" spans="1:15" x14ac:dyDescent="0.35">
      <c r="A30" s="141" t="s">
        <v>697</v>
      </c>
      <c r="C30" t="str">
        <f>C26</f>
        <v>18/19</v>
      </c>
      <c r="D30" t="str">
        <f>D26</f>
        <v>19/20</v>
      </c>
      <c r="E30" t="str">
        <f>E26</f>
        <v>20/21</v>
      </c>
    </row>
    <row r="31" spans="1:15" x14ac:dyDescent="0.35">
      <c r="B31" t="str">
        <f>B27</f>
        <v>Samoa</v>
      </c>
      <c r="C31">
        <f>C6/$C6</f>
        <v>1</v>
      </c>
      <c r="D31">
        <f>D6/$C6</f>
        <v>0.9883670077844835</v>
      </c>
      <c r="E31">
        <f>E6/$C6</f>
        <v>0.9243499855868107</v>
      </c>
    </row>
    <row r="32" spans="1:15" x14ac:dyDescent="0.35">
      <c r="B32" t="str">
        <f>B28</f>
        <v>Tonga</v>
      </c>
      <c r="C32">
        <f>G6/$G6</f>
        <v>1</v>
      </c>
      <c r="D32">
        <f>H6/$G6</f>
        <v>0.977063958464084</v>
      </c>
      <c r="E32">
        <f>I6/$G6</f>
        <v>1.1535311693244557</v>
      </c>
    </row>
    <row r="33" spans="1:15" x14ac:dyDescent="0.35">
      <c r="B33" t="str">
        <f>B29</f>
        <v>Fiji</v>
      </c>
      <c r="C33">
        <f>K6/$K6</f>
        <v>1</v>
      </c>
      <c r="D33">
        <f>L6/$K6</f>
        <v>0.97030759253807974</v>
      </c>
      <c r="E33">
        <f>M6/$K6</f>
        <v>0.9950151198135625</v>
      </c>
    </row>
    <row r="34" spans="1:15" x14ac:dyDescent="0.35">
      <c r="G34" s="141" t="s">
        <v>697</v>
      </c>
    </row>
    <row r="35" spans="1:15" x14ac:dyDescent="0.35">
      <c r="O35" s="141" t="s">
        <v>687</v>
      </c>
    </row>
    <row r="36" spans="1:15" x14ac:dyDescent="0.35">
      <c r="A36" t="s">
        <v>1091</v>
      </c>
    </row>
    <row r="37" spans="1:15" x14ac:dyDescent="0.35">
      <c r="B37" s="32">
        <f>100/'Budget 2020-21 data'!E10</f>
        <v>1.0095605382976791E-2</v>
      </c>
      <c r="C37" t="s">
        <v>1092</v>
      </c>
    </row>
    <row r="38" spans="1:15" x14ac:dyDescent="0.35">
      <c r="B38">
        <f>220/Overview!B6</f>
        <v>103.28638497652582</v>
      </c>
      <c r="C38" t="s">
        <v>1093</v>
      </c>
    </row>
    <row r="39" spans="1:15" x14ac:dyDescent="0.35">
      <c r="A39" t="s">
        <v>1090</v>
      </c>
      <c r="B39">
        <f>815.7*0.72</f>
        <v>587.30399999999997</v>
      </c>
      <c r="C39" t="s">
        <v>1095</v>
      </c>
    </row>
    <row r="40" spans="1:15" x14ac:dyDescent="0.35">
      <c r="B40" s="150">
        <f>B38/B39</f>
        <v>0.17586528437832166</v>
      </c>
      <c r="C40" t="s">
        <v>1094</v>
      </c>
    </row>
    <row r="53" spans="7:15" x14ac:dyDescent="0.35">
      <c r="G53" s="141" t="s">
        <v>727</v>
      </c>
      <c r="O53" s="141" t="s">
        <v>730</v>
      </c>
    </row>
  </sheetData>
  <mergeCells count="3">
    <mergeCell ref="C1:F1"/>
    <mergeCell ref="G1:J1"/>
    <mergeCell ref="K1:N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L38"/>
  <sheetViews>
    <sheetView topLeftCell="A16" zoomScale="90" zoomScaleNormal="90" workbookViewId="0">
      <selection activeCell="N26" sqref="N26"/>
    </sheetView>
  </sheetViews>
  <sheetFormatPr defaultRowHeight="14.5" x14ac:dyDescent="0.35"/>
  <cols>
    <col min="1" max="1" width="41" customWidth="1"/>
    <col min="4" max="4" width="2.54296875" customWidth="1"/>
    <col min="8" max="8" width="3" customWidth="1"/>
    <col min="9" max="9" width="11.26953125" bestFit="1" customWidth="1"/>
    <col min="10" max="10" width="9.81640625" bestFit="1" customWidth="1"/>
  </cols>
  <sheetData>
    <row r="1" spans="1:10" x14ac:dyDescent="0.35">
      <c r="A1" s="325" t="s">
        <v>1058</v>
      </c>
    </row>
    <row r="3" spans="1:10" x14ac:dyDescent="0.35">
      <c r="A3" s="116"/>
      <c r="B3" s="317" t="str">
        <f>Overview!B1</f>
        <v>Fiji</v>
      </c>
      <c r="C3" s="317" t="str">
        <f>Overview!C1</f>
        <v>PNG</v>
      </c>
      <c r="D3" s="317"/>
      <c r="E3" s="317" t="str">
        <f>Overview!D1</f>
        <v>Samoa</v>
      </c>
      <c r="F3" s="317" t="str">
        <f>Overview!E1</f>
        <v>Solomon Islands</v>
      </c>
      <c r="G3" s="317" t="str">
        <f>Overview!G1</f>
        <v>Tonga</v>
      </c>
      <c r="H3" s="317"/>
      <c r="I3" s="317" t="str">
        <f>Overview!F1</f>
        <v>Timor-Leste</v>
      </c>
      <c r="J3" s="241" t="str">
        <f>Overview!H1</f>
        <v>Vanuatu</v>
      </c>
    </row>
    <row r="4" spans="1:10" x14ac:dyDescent="0.35">
      <c r="A4" s="116" t="s">
        <v>1048</v>
      </c>
      <c r="B4" s="318">
        <f>Overview!B35</f>
        <v>100</v>
      </c>
      <c r="C4" s="318">
        <f>Overview!C35</f>
        <v>600</v>
      </c>
      <c r="D4" s="318"/>
      <c r="E4" s="318">
        <f>Overview!D35</f>
        <v>38.4</v>
      </c>
      <c r="F4" s="318">
        <f>Overview!E35</f>
        <v>448.7</v>
      </c>
      <c r="G4" s="318">
        <f>Overview!G35</f>
        <v>60</v>
      </c>
      <c r="H4" s="116"/>
      <c r="I4" s="318">
        <f>Overview!F35</f>
        <v>150</v>
      </c>
      <c r="J4" s="314">
        <f>Overview!H35</f>
        <v>4200</v>
      </c>
    </row>
    <row r="5" spans="1:10" x14ac:dyDescent="0.35">
      <c r="A5" s="116" t="s">
        <v>1041</v>
      </c>
      <c r="B5" s="318"/>
      <c r="C5" s="318"/>
      <c r="D5" s="318"/>
      <c r="E5" s="318"/>
      <c r="F5" s="318"/>
      <c r="G5" s="318"/>
      <c r="H5" s="116"/>
      <c r="I5" s="318">
        <f>I4</f>
        <v>150</v>
      </c>
      <c r="J5" s="314">
        <f>J4</f>
        <v>4200</v>
      </c>
    </row>
    <row r="6" spans="1:10" x14ac:dyDescent="0.35">
      <c r="A6" s="319" t="s">
        <v>1051</v>
      </c>
      <c r="B6" s="318">
        <f>Overview!B46</f>
        <v>679.5</v>
      </c>
      <c r="C6" s="318"/>
      <c r="D6" s="318"/>
      <c r="E6" s="318"/>
      <c r="F6" s="318"/>
      <c r="G6" s="318"/>
      <c r="H6" s="116"/>
      <c r="I6" s="318"/>
      <c r="J6" s="314"/>
    </row>
    <row r="7" spans="1:10" x14ac:dyDescent="0.35">
      <c r="A7" s="320" t="s">
        <v>1042</v>
      </c>
      <c r="B7" s="318"/>
      <c r="C7" s="318"/>
      <c r="D7" s="318"/>
      <c r="E7" s="318">
        <f>Overview!D62</f>
        <v>40.799999999999997</v>
      </c>
      <c r="F7" s="318">
        <f>606-160</f>
        <v>446</v>
      </c>
      <c r="G7" s="318">
        <f>Overview!G62</f>
        <v>46.5</v>
      </c>
      <c r="H7" s="116"/>
      <c r="I7" s="318"/>
      <c r="J7" s="314"/>
    </row>
    <row r="8" spans="1:10" x14ac:dyDescent="0.35">
      <c r="A8" s="320" t="s">
        <v>1052</v>
      </c>
      <c r="C8" s="318"/>
      <c r="D8" s="318"/>
      <c r="E8" s="318">
        <f>Overview!D46</f>
        <v>8.1</v>
      </c>
      <c r="F8" s="318">
        <v>160</v>
      </c>
      <c r="G8" s="318">
        <f>Overview!G46</f>
        <v>30</v>
      </c>
      <c r="H8" s="116"/>
      <c r="I8" s="318"/>
      <c r="J8" s="314"/>
    </row>
    <row r="9" spans="1:10" x14ac:dyDescent="0.35">
      <c r="A9" s="116" t="s">
        <v>1049</v>
      </c>
      <c r="B9" s="318">
        <f>Overview!B18-Overview!B19</f>
        <v>984.09999999999991</v>
      </c>
      <c r="C9" s="318">
        <f>Overview!C18-Overview!C19</f>
        <v>2000</v>
      </c>
      <c r="D9" s="318"/>
      <c r="E9" s="318">
        <f>Overview!D18-Overview!D19</f>
        <v>12.5</v>
      </c>
      <c r="F9" s="318">
        <f>Overview!E18-Overview!E19</f>
        <v>190</v>
      </c>
      <c r="G9" s="318">
        <v>57</v>
      </c>
      <c r="H9" s="116"/>
      <c r="I9" s="318"/>
      <c r="J9" s="314"/>
    </row>
    <row r="10" spans="1:10" x14ac:dyDescent="0.35">
      <c r="A10" s="321" t="s">
        <v>1053</v>
      </c>
      <c r="B10" s="322">
        <f>-(B6+B7-(B4+B9))</f>
        <v>404.59999999999991</v>
      </c>
      <c r="C10" s="322">
        <f t="shared" ref="C10:G10" si="0">-(C8+C7-(C4+C9))</f>
        <v>2600</v>
      </c>
      <c r="D10" s="322"/>
      <c r="E10" s="322">
        <f t="shared" si="0"/>
        <v>2</v>
      </c>
      <c r="F10" s="322">
        <v>209.2</v>
      </c>
      <c r="G10" s="322">
        <f t="shared" si="0"/>
        <v>40.5</v>
      </c>
      <c r="H10" s="317"/>
      <c r="I10" s="322"/>
      <c r="J10" s="315"/>
    </row>
    <row r="11" spans="1:10" x14ac:dyDescent="0.35">
      <c r="A11" s="323" t="s">
        <v>1043</v>
      </c>
      <c r="B11" s="324">
        <f>B7+B6-B4+B10-B9</f>
        <v>0</v>
      </c>
      <c r="C11" s="324">
        <f>C7+C8-C4+C10-C9</f>
        <v>0</v>
      </c>
      <c r="D11" s="324"/>
      <c r="E11" s="324">
        <f>E7+E8-E4+E10-E9</f>
        <v>0</v>
      </c>
      <c r="F11" s="324">
        <f>F7+F8-F4+F10-F9</f>
        <v>176.5</v>
      </c>
      <c r="G11" s="324">
        <f>G7+G8-G4+G10-G9</f>
        <v>0</v>
      </c>
      <c r="H11" s="323"/>
      <c r="I11" s="324">
        <f>I4-I5</f>
        <v>0</v>
      </c>
      <c r="J11" s="316">
        <f>J4-J5</f>
        <v>0</v>
      </c>
    </row>
    <row r="12" spans="1:10" x14ac:dyDescent="0.35">
      <c r="A12" s="116"/>
      <c r="B12" s="116"/>
      <c r="C12" s="116"/>
      <c r="D12" s="116"/>
      <c r="E12" s="116"/>
      <c r="F12" s="116"/>
      <c r="G12" s="116"/>
      <c r="H12" s="116"/>
      <c r="I12" s="116"/>
    </row>
    <row r="13" spans="1:10" x14ac:dyDescent="0.35">
      <c r="A13" t="s">
        <v>1044</v>
      </c>
    </row>
    <row r="14" spans="1:10" x14ac:dyDescent="0.35">
      <c r="A14" t="s">
        <v>1054</v>
      </c>
    </row>
    <row r="15" spans="1:10" x14ac:dyDescent="0.35">
      <c r="A15" t="s">
        <v>1045</v>
      </c>
    </row>
    <row r="16" spans="1:10" x14ac:dyDescent="0.35">
      <c r="A16" t="s">
        <v>1055</v>
      </c>
    </row>
    <row r="17" spans="1:12" x14ac:dyDescent="0.35">
      <c r="A17" t="s">
        <v>1057</v>
      </c>
    </row>
    <row r="18" spans="1:12" x14ac:dyDescent="0.35">
      <c r="A18" t="s">
        <v>1056</v>
      </c>
    </row>
    <row r="20" spans="1:12" x14ac:dyDescent="0.35">
      <c r="A20" s="332" t="s">
        <v>1059</v>
      </c>
      <c r="B20" s="333">
        <f>Overview!B16</f>
        <v>12984.2</v>
      </c>
      <c r="C20" s="333">
        <f>Overview!C16</f>
        <v>92620</v>
      </c>
      <c r="D20" s="333"/>
      <c r="E20" s="333">
        <f>Overview!D16</f>
        <v>2414</v>
      </c>
      <c r="F20" s="333">
        <f>Overview!E16</f>
        <v>12521.519999999999</v>
      </c>
      <c r="G20" s="333">
        <f>Overview!G16</f>
        <v>1005.383</v>
      </c>
      <c r="H20" s="332"/>
      <c r="I20" s="333">
        <f>Overview!F16</f>
        <v>1813</v>
      </c>
      <c r="J20" s="333">
        <f>Overview!H16</f>
        <v>114458</v>
      </c>
      <c r="K20" s="332"/>
      <c r="L20" s="332"/>
    </row>
    <row r="21" spans="1:12" x14ac:dyDescent="0.35">
      <c r="A21" s="332"/>
      <c r="B21" s="333"/>
      <c r="C21" s="333"/>
      <c r="D21" s="333"/>
      <c r="E21" s="333"/>
      <c r="F21" s="333"/>
      <c r="G21" s="333"/>
      <c r="H21" s="332"/>
      <c r="I21" s="333"/>
      <c r="J21" s="333"/>
      <c r="K21" s="332"/>
      <c r="L21" s="332"/>
    </row>
    <row r="22" spans="1:12" x14ac:dyDescent="0.35">
      <c r="A22" s="334" t="s">
        <v>1060</v>
      </c>
      <c r="B22" s="333"/>
      <c r="C22" s="333"/>
      <c r="D22" s="333"/>
      <c r="E22" s="333"/>
      <c r="F22" s="333"/>
      <c r="G22" s="333"/>
      <c r="H22" s="332"/>
      <c r="I22" s="333"/>
      <c r="J22" s="333"/>
      <c r="K22" s="332"/>
      <c r="L22" s="332"/>
    </row>
    <row r="23" spans="1:12" x14ac:dyDescent="0.35">
      <c r="A23" s="332"/>
      <c r="B23" s="381" t="s">
        <v>1046</v>
      </c>
      <c r="C23" s="381"/>
      <c r="D23" s="333"/>
      <c r="E23" s="381" t="s">
        <v>1047</v>
      </c>
      <c r="F23" s="381"/>
      <c r="G23" s="381"/>
      <c r="H23" s="332"/>
      <c r="I23" s="381" t="s">
        <v>1089</v>
      </c>
      <c r="J23" s="381"/>
      <c r="K23" s="332"/>
      <c r="L23" s="332"/>
    </row>
    <row r="24" spans="1:12" x14ac:dyDescent="0.35">
      <c r="A24" s="332"/>
      <c r="B24" s="335" t="str">
        <f>B3</f>
        <v>Fiji</v>
      </c>
      <c r="C24" s="335" t="str">
        <f>C3</f>
        <v>PNG</v>
      </c>
      <c r="D24" s="336"/>
      <c r="E24" s="335" t="str">
        <f>E3</f>
        <v>Samoa</v>
      </c>
      <c r="F24" s="335" t="s">
        <v>627</v>
      </c>
      <c r="G24" s="335" t="str">
        <f>G3</f>
        <v>Tonga</v>
      </c>
      <c r="H24" s="336"/>
      <c r="I24" s="335" t="str">
        <f>I3</f>
        <v>Timor-Leste</v>
      </c>
      <c r="J24" s="335" t="str">
        <f>J3</f>
        <v>Vanuatu</v>
      </c>
      <c r="K24" s="332"/>
      <c r="L24" s="332"/>
    </row>
    <row r="25" spans="1:12" x14ac:dyDescent="0.35">
      <c r="A25" s="332" t="s">
        <v>1048</v>
      </c>
      <c r="B25" s="337">
        <f>B4/B$20</f>
        <v>7.701668181328075E-3</v>
      </c>
      <c r="C25" s="337">
        <f>C4/C$20</f>
        <v>6.4780824875836753E-3</v>
      </c>
      <c r="D25" s="337"/>
      <c r="E25" s="337">
        <f>E4/E$20</f>
        <v>1.5907207953603977E-2</v>
      </c>
      <c r="F25" s="337">
        <f>F4/F$20</f>
        <v>3.5834307655939535E-2</v>
      </c>
      <c r="G25" s="337">
        <f>G4/G$20</f>
        <v>5.9678749292558154E-2</v>
      </c>
      <c r="H25" s="338"/>
      <c r="I25" s="337">
        <f>I4/I$20</f>
        <v>8.2735797021511306E-2</v>
      </c>
      <c r="J25" s="337">
        <f>J4/J$20</f>
        <v>3.6694682765730659E-2</v>
      </c>
      <c r="K25" s="332"/>
      <c r="L25" s="332"/>
    </row>
    <row r="26" spans="1:12" x14ac:dyDescent="0.35">
      <c r="A26" s="332" t="s">
        <v>1049</v>
      </c>
      <c r="B26" s="337">
        <f>B9/B$20</f>
        <v>7.579211657244958E-2</v>
      </c>
      <c r="C26" s="337">
        <f>C9/C$20</f>
        <v>2.1593608291945583E-2</v>
      </c>
      <c r="D26" s="337"/>
      <c r="E26" s="337">
        <f>E9/E$20</f>
        <v>5.1781275890637945E-3</v>
      </c>
      <c r="F26" s="337">
        <f>F9/F$20</f>
        <v>1.5173876653952556E-2</v>
      </c>
      <c r="G26" s="337">
        <f>G9/G$20</f>
        <v>5.669481182793025E-2</v>
      </c>
      <c r="H26" s="339"/>
      <c r="I26" s="340"/>
      <c r="J26" s="340"/>
      <c r="K26" s="332"/>
      <c r="L26" s="332"/>
    </row>
    <row r="27" spans="1:12" x14ac:dyDescent="0.35">
      <c r="A27" s="332" t="s">
        <v>1050</v>
      </c>
      <c r="B27" s="340"/>
      <c r="C27" s="340"/>
      <c r="D27" s="340"/>
      <c r="E27" s="340"/>
      <c r="F27" s="340"/>
      <c r="G27" s="340"/>
      <c r="H27" s="339"/>
      <c r="I27" s="340"/>
      <c r="J27" s="340"/>
      <c r="K27" s="332"/>
      <c r="L27" s="332"/>
    </row>
    <row r="28" spans="1:12" x14ac:dyDescent="0.35">
      <c r="A28" s="341" t="s">
        <v>1041</v>
      </c>
      <c r="B28" s="337">
        <f>B5/B$20</f>
        <v>0</v>
      </c>
      <c r="C28" s="337">
        <f>C5/C$20</f>
        <v>0</v>
      </c>
      <c r="D28" s="337"/>
      <c r="E28" s="337">
        <f>E5/E$20</f>
        <v>0</v>
      </c>
      <c r="F28" s="337">
        <f>F5/F$20</f>
        <v>0</v>
      </c>
      <c r="G28" s="337">
        <f>G5/G$20</f>
        <v>0</v>
      </c>
      <c r="H28" s="338"/>
      <c r="I28" s="337">
        <f>I5/I$20</f>
        <v>8.2735797021511306E-2</v>
      </c>
      <c r="J28" s="337">
        <f>J5/J$20</f>
        <v>3.6694682765730659E-2</v>
      </c>
      <c r="K28" s="332"/>
      <c r="L28" s="332"/>
    </row>
    <row r="29" spans="1:12" x14ac:dyDescent="0.35">
      <c r="A29" s="341" t="s">
        <v>1051</v>
      </c>
      <c r="B29" s="337">
        <f>(B6)/B20</f>
        <v>5.233283529212427E-2</v>
      </c>
      <c r="C29" s="337">
        <f>(C7+C8)/C20</f>
        <v>0</v>
      </c>
      <c r="D29" s="337"/>
      <c r="E29" s="337">
        <f>(E7+E8)/E20</f>
        <v>2.0256835128417562E-2</v>
      </c>
      <c r="F29" s="337">
        <f>(F7+F8)/F20</f>
        <v>4.8396680275238156E-2</v>
      </c>
      <c r="G29" s="337">
        <f>(G7+G8)/G20</f>
        <v>7.6090405348011647E-2</v>
      </c>
      <c r="H29" s="338"/>
      <c r="I29" s="337"/>
      <c r="J29" s="337"/>
      <c r="K29" s="332"/>
      <c r="L29" s="332"/>
    </row>
    <row r="30" spans="1:12" x14ac:dyDescent="0.35">
      <c r="A30" s="342" t="s">
        <v>1042</v>
      </c>
      <c r="B30" s="337"/>
      <c r="C30" s="337"/>
      <c r="D30" s="337"/>
      <c r="E30" s="337">
        <f t="shared" ref="E30:G31" si="1">E7/E$20</f>
        <v>1.6901408450704224E-2</v>
      </c>
      <c r="F30" s="337">
        <f t="shared" si="1"/>
        <v>3.5618678882436E-2</v>
      </c>
      <c r="G30" s="337">
        <f t="shared" si="1"/>
        <v>4.6251030701732573E-2</v>
      </c>
      <c r="H30" s="338"/>
      <c r="I30" s="337"/>
      <c r="J30" s="337"/>
      <c r="K30" s="332"/>
      <c r="L30" s="332"/>
    </row>
    <row r="31" spans="1:12" x14ac:dyDescent="0.35">
      <c r="A31" s="342" t="s">
        <v>1052</v>
      </c>
      <c r="B31" s="337"/>
      <c r="C31" s="337"/>
      <c r="D31" s="337"/>
      <c r="E31" s="337">
        <f t="shared" si="1"/>
        <v>3.3554266777133389E-3</v>
      </c>
      <c r="F31" s="337">
        <f t="shared" si="1"/>
        <v>1.2778001392802153E-2</v>
      </c>
      <c r="G31" s="337">
        <f t="shared" si="1"/>
        <v>2.9839374646279077E-2</v>
      </c>
      <c r="H31" s="338"/>
      <c r="I31" s="337"/>
      <c r="J31" s="337"/>
      <c r="K31" s="332"/>
      <c r="L31" s="332"/>
    </row>
    <row r="32" spans="1:12" x14ac:dyDescent="0.35">
      <c r="A32" s="343" t="s">
        <v>1053</v>
      </c>
      <c r="B32" s="344">
        <f>B10/B$20</f>
        <v>3.1160949461653386E-2</v>
      </c>
      <c r="C32" s="344">
        <f>C10/C$20</f>
        <v>2.807169077952926E-2</v>
      </c>
      <c r="D32" s="344"/>
      <c r="E32" s="344">
        <f>E10/E$20</f>
        <v>8.2850041425020708E-4</v>
      </c>
      <c r="F32" s="344">
        <f>F10/F$20</f>
        <v>1.6707236821088815E-2</v>
      </c>
      <c r="G32" s="344">
        <f>G10/G$20</f>
        <v>4.0283155772476757E-2</v>
      </c>
      <c r="H32" s="345"/>
      <c r="I32" s="344"/>
      <c r="J32" s="344"/>
      <c r="K32" s="332"/>
      <c r="L32" s="332"/>
    </row>
    <row r="33" spans="1:12" x14ac:dyDescent="0.35">
      <c r="A33" s="346" t="s">
        <v>1043</v>
      </c>
      <c r="B33" s="344">
        <f>-(B25+B26)+(B28+B29+B32)</f>
        <v>0</v>
      </c>
      <c r="C33" s="344">
        <f>-(C25+C26)+(C28+C29+C32)</f>
        <v>0</v>
      </c>
      <c r="D33" s="346"/>
      <c r="E33" s="344">
        <f>-(E25+E26)+(E28+E29+E32)</f>
        <v>0</v>
      </c>
      <c r="F33" s="344">
        <f>-(F25+F26)+(F28+F29+F32)</f>
        <v>1.4095732786434882E-2</v>
      </c>
      <c r="G33" s="344">
        <f>-(G25+G26)+(G28+G29+G32)</f>
        <v>0</v>
      </c>
      <c r="H33" s="346"/>
      <c r="I33" s="344">
        <f>-(I25+I26)+(I28+I29+I32)</f>
        <v>0</v>
      </c>
      <c r="J33" s="344">
        <f>-(J25+J26)+(J28+J29+J32)</f>
        <v>0</v>
      </c>
      <c r="K33" s="332"/>
      <c r="L33" s="332"/>
    </row>
    <row r="34" spans="1:12" x14ac:dyDescent="0.35">
      <c r="A34" s="332"/>
      <c r="B34" s="332"/>
      <c r="C34" s="332"/>
      <c r="D34" s="332"/>
      <c r="E34" s="332"/>
      <c r="F34" s="332"/>
      <c r="G34" s="332"/>
      <c r="H34" s="332"/>
      <c r="I34" s="332"/>
      <c r="J34" s="332"/>
      <c r="K34" s="332"/>
      <c r="L34" s="332"/>
    </row>
    <row r="35" spans="1:12" x14ac:dyDescent="0.35">
      <c r="A35" s="332"/>
      <c r="B35" s="332"/>
      <c r="C35" s="332"/>
      <c r="D35" s="332"/>
      <c r="E35" s="332"/>
      <c r="F35" s="332"/>
      <c r="G35" s="332"/>
      <c r="H35" s="332"/>
      <c r="I35" s="332"/>
      <c r="J35" s="332"/>
      <c r="K35" s="332"/>
      <c r="L35" s="332"/>
    </row>
    <row r="36" spans="1:12" x14ac:dyDescent="0.35">
      <c r="A36" s="332"/>
      <c r="B36" s="332"/>
      <c r="C36" s="332"/>
      <c r="D36" s="332"/>
      <c r="E36" s="332"/>
      <c r="F36" s="332"/>
      <c r="G36" s="332"/>
      <c r="H36" s="332"/>
      <c r="I36" s="332"/>
      <c r="J36" s="332"/>
      <c r="K36" s="332"/>
      <c r="L36" s="332"/>
    </row>
    <row r="37" spans="1:12" x14ac:dyDescent="0.35">
      <c r="A37" s="332"/>
      <c r="B37" s="332"/>
      <c r="C37" s="332"/>
      <c r="D37" s="332"/>
      <c r="E37" s="332"/>
      <c r="F37" s="332"/>
      <c r="G37" s="332"/>
      <c r="H37" s="332"/>
      <c r="I37" s="332"/>
      <c r="J37" s="332"/>
      <c r="K37" s="332"/>
      <c r="L37" s="332"/>
    </row>
    <row r="38" spans="1:12" x14ac:dyDescent="0.35">
      <c r="A38" s="116"/>
      <c r="B38" s="116"/>
      <c r="C38" s="116"/>
      <c r="D38" s="116"/>
      <c r="E38" s="116"/>
      <c r="F38" s="116"/>
      <c r="G38" s="116"/>
      <c r="H38" s="116"/>
      <c r="I38" s="116"/>
      <c r="J38" s="116"/>
      <c r="K38" s="116"/>
      <c r="L38" s="116"/>
    </row>
  </sheetData>
  <mergeCells count="3">
    <mergeCell ref="B23:C23"/>
    <mergeCell ref="E23:G23"/>
    <mergeCell ref="I23:J23"/>
  </mergeCells>
  <pageMargins left="0.7" right="0.7" top="0.75" bottom="0.75" header="0.3" footer="0.3"/>
  <pageSetup paperSize="9" orientation="portrait" r:id="rId1"/>
  <ignoredErrors>
    <ignoredError sqref="E29:G29 C29"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AF132"/>
  <sheetViews>
    <sheetView zoomScale="80" zoomScaleNormal="80" workbookViewId="0">
      <selection activeCell="Z45" sqref="Z45"/>
    </sheetView>
  </sheetViews>
  <sheetFormatPr defaultRowHeight="14.5" x14ac:dyDescent="0.35"/>
  <cols>
    <col min="1" max="1" width="23.7265625" customWidth="1"/>
    <col min="2" max="2" width="28.81640625" bestFit="1" customWidth="1"/>
    <col min="3" max="3" width="28.453125" bestFit="1" customWidth="1"/>
    <col min="4" max="4" width="25.54296875" customWidth="1"/>
    <col min="5" max="5" width="17" customWidth="1"/>
    <col min="9" max="9" width="24" customWidth="1"/>
    <col min="10" max="10" width="20.7265625" customWidth="1"/>
    <col min="11" max="11" width="25.7265625" customWidth="1"/>
    <col min="12" max="12" width="45.1796875" customWidth="1"/>
    <col min="13" max="13" width="15.453125" customWidth="1"/>
    <col min="14" max="14" width="11.453125" customWidth="1"/>
    <col min="16" max="16" width="10.81640625" customWidth="1"/>
  </cols>
  <sheetData>
    <row r="1" spans="1:29" x14ac:dyDescent="0.35">
      <c r="A1" s="291" t="s">
        <v>973</v>
      </c>
      <c r="I1" s="382" t="s">
        <v>972</v>
      </c>
      <c r="J1" s="382"/>
    </row>
    <row r="2" spans="1:29" ht="49.5" customHeight="1" x14ac:dyDescent="0.35">
      <c r="A2" s="292" t="s">
        <v>262</v>
      </c>
      <c r="B2" s="292" t="s">
        <v>819</v>
      </c>
      <c r="C2" s="292" t="s">
        <v>820</v>
      </c>
      <c r="D2" s="293" t="s">
        <v>821</v>
      </c>
      <c r="E2" s="294" t="s">
        <v>822</v>
      </c>
      <c r="I2" s="8"/>
      <c r="J2" s="134" t="s">
        <v>965</v>
      </c>
      <c r="K2" s="306" t="s">
        <v>960</v>
      </c>
    </row>
    <row r="3" spans="1:29" x14ac:dyDescent="0.35">
      <c r="A3" s="8" t="s">
        <v>823</v>
      </c>
      <c r="B3" s="8" t="s">
        <v>824</v>
      </c>
      <c r="C3" s="8" t="s">
        <v>825</v>
      </c>
      <c r="D3" s="8"/>
      <c r="E3" s="289"/>
      <c r="I3" t="s">
        <v>961</v>
      </c>
      <c r="J3">
        <v>81.93</v>
      </c>
      <c r="K3" s="176">
        <v>4.1514285714285726E-2</v>
      </c>
    </row>
    <row r="4" spans="1:29" x14ac:dyDescent="0.35">
      <c r="A4" s="8" t="s">
        <v>275</v>
      </c>
      <c r="B4" s="8" t="s">
        <v>826</v>
      </c>
      <c r="C4" s="8" t="s">
        <v>825</v>
      </c>
      <c r="D4" s="8">
        <v>116000</v>
      </c>
      <c r="E4" s="289">
        <v>9.6999999999999989E-2</v>
      </c>
      <c r="I4" t="s">
        <v>931</v>
      </c>
      <c r="J4">
        <v>6.26</v>
      </c>
      <c r="K4" s="32">
        <v>1.0725116279069769E-2</v>
      </c>
    </row>
    <row r="5" spans="1:29" x14ac:dyDescent="0.35">
      <c r="A5" s="8" t="s">
        <v>827</v>
      </c>
      <c r="B5" s="8" t="s">
        <v>828</v>
      </c>
      <c r="C5" s="8" t="s">
        <v>825</v>
      </c>
      <c r="D5" s="8">
        <v>41000</v>
      </c>
      <c r="E5" s="289">
        <v>0.09</v>
      </c>
      <c r="I5" s="307" t="s">
        <v>971</v>
      </c>
      <c r="K5" s="32"/>
    </row>
    <row r="6" spans="1:29" x14ac:dyDescent="0.35">
      <c r="A6" s="8" t="s">
        <v>829</v>
      </c>
      <c r="B6" s="8" t="s">
        <v>828</v>
      </c>
      <c r="C6" s="8" t="s">
        <v>825</v>
      </c>
      <c r="D6" s="8">
        <v>11000</v>
      </c>
      <c r="E6" s="289">
        <v>0.02</v>
      </c>
      <c r="K6" s="32"/>
    </row>
    <row r="7" spans="1:29" x14ac:dyDescent="0.35">
      <c r="A7" s="8" t="s">
        <v>830</v>
      </c>
      <c r="B7" s="8" t="s">
        <v>831</v>
      </c>
      <c r="C7" s="8" t="s">
        <v>825</v>
      </c>
      <c r="D7" s="8">
        <v>97000</v>
      </c>
      <c r="E7" s="289">
        <v>0.06</v>
      </c>
      <c r="I7" t="s">
        <v>592</v>
      </c>
      <c r="K7" s="32"/>
    </row>
    <row r="8" spans="1:29" x14ac:dyDescent="0.35">
      <c r="A8" s="8" t="s">
        <v>832</v>
      </c>
      <c r="B8" s="8" t="s">
        <v>824</v>
      </c>
      <c r="C8" s="8" t="s">
        <v>825</v>
      </c>
      <c r="D8" s="8">
        <v>11750</v>
      </c>
      <c r="E8" s="289">
        <v>4.7E-2</v>
      </c>
      <c r="K8" s="32"/>
    </row>
    <row r="9" spans="1:29" x14ac:dyDescent="0.35">
      <c r="A9" s="8" t="s">
        <v>833</v>
      </c>
      <c r="B9" s="8" t="s">
        <v>828</v>
      </c>
      <c r="C9" s="8" t="s">
        <v>825</v>
      </c>
      <c r="D9" s="8">
        <v>610</v>
      </c>
      <c r="E9" s="289">
        <v>0.01</v>
      </c>
      <c r="K9" s="32"/>
    </row>
    <row r="10" spans="1:29" ht="29" x14ac:dyDescent="0.35">
      <c r="A10" s="8" t="s">
        <v>834</v>
      </c>
      <c r="B10" s="8" t="s">
        <v>828</v>
      </c>
      <c r="C10" s="8" t="s">
        <v>825</v>
      </c>
      <c r="D10" s="8">
        <v>4000</v>
      </c>
      <c r="E10" s="289">
        <v>0.02</v>
      </c>
      <c r="I10" s="309" t="s">
        <v>262</v>
      </c>
      <c r="J10" s="310" t="s">
        <v>268</v>
      </c>
      <c r="K10" s="311" t="s">
        <v>136</v>
      </c>
      <c r="L10" s="309" t="s">
        <v>267</v>
      </c>
    </row>
    <row r="11" spans="1:29" x14ac:dyDescent="0.35">
      <c r="A11" s="8" t="s">
        <v>835</v>
      </c>
      <c r="B11" s="8" t="s">
        <v>828</v>
      </c>
      <c r="C11" s="8" t="s">
        <v>825</v>
      </c>
      <c r="D11" s="8">
        <v>8000</v>
      </c>
      <c r="E11" s="289">
        <v>2.5000000000000001E-2</v>
      </c>
      <c r="I11" t="s">
        <v>264</v>
      </c>
      <c r="J11" s="32">
        <v>7.701668181328075E-3</v>
      </c>
      <c r="K11" s="308">
        <v>52.164840897235266</v>
      </c>
      <c r="L11" s="32">
        <v>4.7831576561513219E-2</v>
      </c>
    </row>
    <row r="12" spans="1:29" x14ac:dyDescent="0.35">
      <c r="A12" s="8" t="s">
        <v>836</v>
      </c>
      <c r="B12" s="8" t="s">
        <v>828</v>
      </c>
      <c r="C12" s="8" t="s">
        <v>825</v>
      </c>
      <c r="D12" s="8">
        <v>2200</v>
      </c>
      <c r="E12" s="289">
        <v>7.0000000000000007E-2</v>
      </c>
      <c r="I12" t="s">
        <v>263</v>
      </c>
      <c r="J12" s="32">
        <v>6.4780824875836753E-3</v>
      </c>
      <c r="K12" s="308">
        <v>19.648938957296306</v>
      </c>
      <c r="L12" s="32">
        <v>1.5912564863420426E-2</v>
      </c>
    </row>
    <row r="13" spans="1:29" x14ac:dyDescent="0.35">
      <c r="A13" s="8" t="s">
        <v>837</v>
      </c>
      <c r="B13" s="8" t="s">
        <v>828</v>
      </c>
      <c r="C13" s="8" t="s">
        <v>825</v>
      </c>
      <c r="D13" s="8">
        <v>203</v>
      </c>
      <c r="E13" s="289">
        <v>6.9999999999999993E-3</v>
      </c>
      <c r="I13" t="s">
        <v>269</v>
      </c>
      <c r="J13" s="32">
        <v>1.5907207953603977E-2</v>
      </c>
      <c r="K13" s="308">
        <v>73.282442748091597</v>
      </c>
      <c r="L13" s="32">
        <v>6.904904722452361E-2</v>
      </c>
    </row>
    <row r="14" spans="1:29" s="8" customFormat="1" x14ac:dyDescent="0.35">
      <c r="A14" s="8" t="s">
        <v>838</v>
      </c>
      <c r="B14" s="8" t="s">
        <v>828</v>
      </c>
      <c r="C14" s="8" t="s">
        <v>825</v>
      </c>
      <c r="D14" s="8">
        <v>49000</v>
      </c>
      <c r="E14" s="289">
        <v>0.02</v>
      </c>
      <c r="I14" t="s">
        <v>55</v>
      </c>
      <c r="J14" s="32">
        <v>2.4677515189849158E-2</v>
      </c>
      <c r="K14" s="308">
        <v>3.0242052928736714E-3</v>
      </c>
      <c r="L14" s="32">
        <v>7.3043988269794732E-2</v>
      </c>
      <c r="M14"/>
      <c r="N14"/>
      <c r="O14"/>
      <c r="P14"/>
      <c r="Q14"/>
      <c r="R14"/>
      <c r="S14"/>
      <c r="T14"/>
      <c r="U14"/>
      <c r="V14"/>
      <c r="W14"/>
      <c r="X14"/>
      <c r="Y14"/>
      <c r="Z14"/>
      <c r="AA14"/>
      <c r="AB14"/>
      <c r="AC14"/>
    </row>
    <row r="15" spans="1:29" x14ac:dyDescent="0.35">
      <c r="A15" s="8" t="s">
        <v>839</v>
      </c>
      <c r="B15" s="8" t="s">
        <v>828</v>
      </c>
      <c r="C15" s="8" t="s">
        <v>825</v>
      </c>
      <c r="D15" s="8">
        <v>171000</v>
      </c>
      <c r="E15" s="289">
        <v>4.4999999999999998E-2</v>
      </c>
      <c r="I15" t="s">
        <v>265</v>
      </c>
      <c r="J15" s="32">
        <v>3.6694682765730659E-2</v>
      </c>
      <c r="K15" s="308">
        <v>126.89703514141466</v>
      </c>
      <c r="L15" s="32">
        <v>3.7783413653916728E-2</v>
      </c>
    </row>
    <row r="16" spans="1:29" x14ac:dyDescent="0.35">
      <c r="A16" s="8" t="s">
        <v>840</v>
      </c>
      <c r="B16" s="8" t="s">
        <v>828</v>
      </c>
      <c r="C16" s="8" t="s">
        <v>825</v>
      </c>
      <c r="D16" s="8">
        <v>11000</v>
      </c>
      <c r="E16" s="289">
        <v>0.05</v>
      </c>
      <c r="I16" t="s">
        <v>65</v>
      </c>
      <c r="J16" s="32">
        <v>8.2735797021511306E-2</v>
      </c>
      <c r="K16" s="308">
        <v>107.14285714285714</v>
      </c>
      <c r="L16" s="32">
        <v>6.420297848869278E-3</v>
      </c>
      <c r="AC16" s="8"/>
    </row>
    <row r="17" spans="1:15" x14ac:dyDescent="0.35">
      <c r="A17" s="8" t="s">
        <v>841</v>
      </c>
      <c r="B17" s="8" t="s">
        <v>826</v>
      </c>
      <c r="C17" s="8" t="s">
        <v>825</v>
      </c>
      <c r="D17" s="8">
        <v>19600</v>
      </c>
      <c r="E17" s="289">
        <v>5.2999999999999999E-2</v>
      </c>
      <c r="I17" t="s">
        <v>266</v>
      </c>
      <c r="J17" s="32">
        <v>5.9678749292558154E-2</v>
      </c>
      <c r="K17" s="308">
        <v>256.1287446502709</v>
      </c>
      <c r="L17" s="32">
        <v>9.3904671483404825E-2</v>
      </c>
    </row>
    <row r="18" spans="1:15" x14ac:dyDescent="0.35">
      <c r="A18" s="8" t="s">
        <v>842</v>
      </c>
      <c r="B18" s="8" t="s">
        <v>828</v>
      </c>
      <c r="C18" s="8" t="s">
        <v>825</v>
      </c>
      <c r="D18" s="8"/>
      <c r="E18" s="289"/>
      <c r="I18" t="s">
        <v>275</v>
      </c>
      <c r="J18" s="32">
        <v>9.5000000000000001E-2</v>
      </c>
      <c r="K18" s="308"/>
    </row>
    <row r="19" spans="1:15" x14ac:dyDescent="0.35">
      <c r="A19" s="8" t="s">
        <v>843</v>
      </c>
      <c r="B19" s="8" t="s">
        <v>828</v>
      </c>
      <c r="C19" s="8" t="s">
        <v>825</v>
      </c>
      <c r="D19" s="8">
        <v>1600</v>
      </c>
      <c r="E19" s="289">
        <v>7.8E-2</v>
      </c>
      <c r="I19" s="291" t="s">
        <v>524</v>
      </c>
      <c r="K19" s="32"/>
    </row>
    <row r="20" spans="1:15" x14ac:dyDescent="0.35">
      <c r="A20" s="8" t="s">
        <v>844</v>
      </c>
      <c r="B20" s="8" t="s">
        <v>828</v>
      </c>
      <c r="C20" s="8" t="s">
        <v>825</v>
      </c>
      <c r="D20" s="8">
        <v>7900</v>
      </c>
      <c r="E20" s="289">
        <v>0.02</v>
      </c>
      <c r="I20" s="291" t="s">
        <v>587</v>
      </c>
      <c r="K20" s="32"/>
    </row>
    <row r="21" spans="1:15" x14ac:dyDescent="0.35">
      <c r="A21" s="8" t="s">
        <v>845</v>
      </c>
      <c r="B21" s="8" t="s">
        <v>846</v>
      </c>
      <c r="C21" s="8" t="s">
        <v>825</v>
      </c>
      <c r="D21" s="8">
        <v>4000</v>
      </c>
      <c r="E21" s="289">
        <v>1.1000000000000001E-2</v>
      </c>
      <c r="K21" s="32"/>
    </row>
    <row r="22" spans="1:15" x14ac:dyDescent="0.35">
      <c r="A22" s="8" t="s">
        <v>847</v>
      </c>
      <c r="B22" s="8" t="s">
        <v>828</v>
      </c>
      <c r="C22" s="8" t="s">
        <v>825</v>
      </c>
      <c r="D22" s="8">
        <v>27500</v>
      </c>
      <c r="E22" s="289">
        <v>1.3999999999999999E-2</v>
      </c>
      <c r="K22" s="32"/>
    </row>
    <row r="23" spans="1:15" x14ac:dyDescent="0.35">
      <c r="A23" s="8" t="s">
        <v>848</v>
      </c>
      <c r="B23" s="8" t="s">
        <v>826</v>
      </c>
      <c r="C23" s="8" t="s">
        <v>825</v>
      </c>
      <c r="D23" s="8">
        <v>5000</v>
      </c>
      <c r="E23" s="289">
        <v>1E-3</v>
      </c>
      <c r="K23" s="32"/>
    </row>
    <row r="24" spans="1:15" x14ac:dyDescent="0.35">
      <c r="A24" s="8" t="s">
        <v>849</v>
      </c>
      <c r="B24" s="8" t="s">
        <v>828</v>
      </c>
      <c r="C24" s="8" t="s">
        <v>825</v>
      </c>
      <c r="D24" s="8">
        <v>1100</v>
      </c>
      <c r="E24" s="289">
        <v>0.03</v>
      </c>
      <c r="K24" s="32"/>
    </row>
    <row r="25" spans="1:15" x14ac:dyDescent="0.35">
      <c r="A25" s="8" t="s">
        <v>850</v>
      </c>
      <c r="B25" s="8" t="s">
        <v>828</v>
      </c>
      <c r="C25" s="8" t="s">
        <v>825</v>
      </c>
      <c r="D25" s="8">
        <v>2700</v>
      </c>
      <c r="E25" s="289">
        <v>0.05</v>
      </c>
      <c r="K25" s="32"/>
    </row>
    <row r="26" spans="1:15" x14ac:dyDescent="0.35">
      <c r="A26" s="8" t="s">
        <v>851</v>
      </c>
      <c r="B26" s="8" t="s">
        <v>828</v>
      </c>
      <c r="C26" s="8" t="s">
        <v>825</v>
      </c>
      <c r="D26" s="8">
        <v>1900</v>
      </c>
      <c r="E26" s="289">
        <v>2.7999999999999997E-2</v>
      </c>
      <c r="K26" s="32"/>
    </row>
    <row r="27" spans="1:15" x14ac:dyDescent="0.35">
      <c r="A27" s="8" t="s">
        <v>852</v>
      </c>
      <c r="B27" s="8" t="s">
        <v>828</v>
      </c>
      <c r="C27" s="8" t="s">
        <v>825</v>
      </c>
      <c r="D27" s="8">
        <v>22.6</v>
      </c>
      <c r="E27" s="289">
        <v>0.02</v>
      </c>
      <c r="I27" s="382" t="s">
        <v>966</v>
      </c>
      <c r="J27" s="382"/>
      <c r="K27" s="305"/>
      <c r="M27" s="384" t="s">
        <v>974</v>
      </c>
      <c r="N27" s="384"/>
    </row>
    <row r="28" spans="1:15" x14ac:dyDescent="0.35">
      <c r="A28" s="8" t="s">
        <v>853</v>
      </c>
      <c r="B28" s="8" t="s">
        <v>826</v>
      </c>
      <c r="C28" s="8" t="s">
        <v>825</v>
      </c>
      <c r="D28" s="8">
        <v>9700</v>
      </c>
      <c r="E28" s="289">
        <v>5.4000000000000006E-2</v>
      </c>
      <c r="I28" s="303" t="s">
        <v>262</v>
      </c>
      <c r="J28" s="303"/>
      <c r="K28" s="303" t="s">
        <v>966</v>
      </c>
      <c r="L28" s="303" t="s">
        <v>686</v>
      </c>
      <c r="N28" t="s">
        <v>263</v>
      </c>
      <c r="O28">
        <v>6.4780824875836753E-3</v>
      </c>
    </row>
    <row r="29" spans="1:15" x14ac:dyDescent="0.35">
      <c r="A29" s="8" t="s">
        <v>854</v>
      </c>
      <c r="B29" s="8" t="s">
        <v>828</v>
      </c>
      <c r="C29" s="8" t="s">
        <v>825</v>
      </c>
      <c r="D29" s="8">
        <v>6200</v>
      </c>
      <c r="E29" s="289">
        <v>2.2000000000000002E-2</v>
      </c>
      <c r="I29" s="296" t="s">
        <v>512</v>
      </c>
      <c r="J29" s="296"/>
      <c r="K29" s="297">
        <f>Overview!F$43</f>
        <v>8.2735797021511306E-2</v>
      </c>
      <c r="L29" s="385" t="s">
        <v>968</v>
      </c>
      <c r="N29" t="s">
        <v>264</v>
      </c>
      <c r="O29">
        <v>7.701668181328075E-3</v>
      </c>
    </row>
    <row r="30" spans="1:15" x14ac:dyDescent="0.35">
      <c r="A30" s="8" t="s">
        <v>855</v>
      </c>
      <c r="B30" s="8" t="s">
        <v>828</v>
      </c>
      <c r="C30" s="8" t="s">
        <v>825</v>
      </c>
      <c r="D30" s="8">
        <v>17000</v>
      </c>
      <c r="E30" s="289">
        <v>2.8999999999999998E-2</v>
      </c>
      <c r="I30" s="296" t="s">
        <v>264</v>
      </c>
      <c r="J30" s="296"/>
      <c r="K30" s="297">
        <f>Overview!B$43</f>
        <v>7.701668181328075E-3</v>
      </c>
      <c r="L30" s="385"/>
      <c r="N30" t="s">
        <v>269</v>
      </c>
      <c r="O30">
        <v>1.5907207953603977E-2</v>
      </c>
    </row>
    <row r="31" spans="1:15" x14ac:dyDescent="0.35">
      <c r="A31" s="8" t="s">
        <v>856</v>
      </c>
      <c r="B31" s="8" t="s">
        <v>828</v>
      </c>
      <c r="C31" s="8" t="s">
        <v>825</v>
      </c>
      <c r="D31" s="8">
        <v>9500</v>
      </c>
      <c r="E31" s="289">
        <v>4.4999999999999998E-2</v>
      </c>
      <c r="I31" s="296" t="s">
        <v>263</v>
      </c>
      <c r="J31" s="296"/>
      <c r="K31" s="297">
        <f>Overview!C$43</f>
        <v>6.4780824875836753E-3</v>
      </c>
      <c r="L31" s="385"/>
      <c r="N31" t="s">
        <v>55</v>
      </c>
      <c r="O31" s="297">
        <v>3.5834307655939535E-2</v>
      </c>
    </row>
    <row r="32" spans="1:15" x14ac:dyDescent="0.35">
      <c r="A32" s="8" t="s">
        <v>857</v>
      </c>
      <c r="B32" s="8" t="s">
        <v>846</v>
      </c>
      <c r="C32" s="8" t="s">
        <v>825</v>
      </c>
      <c r="D32" s="8">
        <v>20600</v>
      </c>
      <c r="E32" s="289">
        <v>0.13</v>
      </c>
      <c r="I32" s="296" t="s">
        <v>269</v>
      </c>
      <c r="J32" s="296"/>
      <c r="K32" s="297">
        <f>Overview!D$43</f>
        <v>1.5907207953603977E-2</v>
      </c>
      <c r="L32" s="385"/>
      <c r="N32" t="s">
        <v>265</v>
      </c>
      <c r="O32">
        <v>3.6694682765730659E-2</v>
      </c>
    </row>
    <row r="33" spans="1:28" x14ac:dyDescent="0.35">
      <c r="A33" s="8" t="s">
        <v>858</v>
      </c>
      <c r="B33" s="8" t="s">
        <v>826</v>
      </c>
      <c r="C33" s="8" t="s">
        <v>825</v>
      </c>
      <c r="D33" s="8">
        <v>37500</v>
      </c>
      <c r="E33" s="289">
        <v>0.1</v>
      </c>
      <c r="I33" s="296" t="s">
        <v>266</v>
      </c>
      <c r="J33" s="296"/>
      <c r="K33" s="297">
        <f>Overview!G$43</f>
        <v>5.9678749292558154E-2</v>
      </c>
      <c r="L33" s="385"/>
      <c r="N33" t="s">
        <v>266</v>
      </c>
      <c r="O33">
        <v>5.9678749292558154E-2</v>
      </c>
    </row>
    <row r="34" spans="1:28" x14ac:dyDescent="0.35">
      <c r="A34" s="8" t="s">
        <v>859</v>
      </c>
      <c r="B34" s="8" t="s">
        <v>828</v>
      </c>
      <c r="C34" s="8" t="s">
        <v>825</v>
      </c>
      <c r="D34" s="8"/>
      <c r="E34" s="289">
        <v>0</v>
      </c>
      <c r="I34" s="296" t="s">
        <v>265</v>
      </c>
      <c r="J34" s="296"/>
      <c r="K34" s="297">
        <f>Overview!H$43</f>
        <v>3.6694682765730659E-2</v>
      </c>
      <c r="L34" s="385"/>
      <c r="N34" t="s">
        <v>512</v>
      </c>
      <c r="O34">
        <v>8.2735797021511306E-2</v>
      </c>
      <c r="AB34" s="8"/>
    </row>
    <row r="35" spans="1:28" x14ac:dyDescent="0.35">
      <c r="A35" s="8" t="s">
        <v>860</v>
      </c>
      <c r="B35" s="8" t="s">
        <v>828</v>
      </c>
      <c r="C35" s="8" t="s">
        <v>825</v>
      </c>
      <c r="D35" s="8">
        <v>1100</v>
      </c>
      <c r="E35" s="289">
        <v>2.1000000000000001E-2</v>
      </c>
      <c r="I35" s="296" t="s">
        <v>55</v>
      </c>
      <c r="J35" s="296"/>
      <c r="K35" s="297">
        <f>Overview!E$43</f>
        <v>3.5834307655939535E-2</v>
      </c>
      <c r="L35" s="385"/>
      <c r="N35" t="s">
        <v>931</v>
      </c>
      <c r="O35">
        <v>1.0725116279069769E-2</v>
      </c>
      <c r="P35" s="8"/>
      <c r="Q35" s="8"/>
      <c r="R35" s="8"/>
      <c r="S35" s="8"/>
      <c r="T35" s="8"/>
      <c r="U35" s="8"/>
      <c r="V35" s="8"/>
      <c r="W35" s="8"/>
      <c r="X35" s="8"/>
      <c r="Y35" s="8"/>
      <c r="Z35" s="8"/>
      <c r="AA35" s="8"/>
    </row>
    <row r="36" spans="1:28" ht="58" x14ac:dyDescent="0.35">
      <c r="A36" s="8" t="s">
        <v>861</v>
      </c>
      <c r="B36" s="8" t="s">
        <v>828</v>
      </c>
      <c r="C36" s="8" t="s">
        <v>825</v>
      </c>
      <c r="D36" s="8">
        <v>9000</v>
      </c>
      <c r="E36" s="289">
        <v>6.9999999999999993E-3</v>
      </c>
      <c r="I36" s="298" t="s">
        <v>275</v>
      </c>
      <c r="J36" s="298"/>
      <c r="K36" s="299">
        <v>9.5000000000000001E-2</v>
      </c>
      <c r="L36" s="300" t="s">
        <v>967</v>
      </c>
      <c r="N36" t="s">
        <v>961</v>
      </c>
      <c r="O36">
        <v>4.1514285714285726E-2</v>
      </c>
    </row>
    <row r="37" spans="1:28" ht="29" x14ac:dyDescent="0.35">
      <c r="A37" s="8" t="s">
        <v>862</v>
      </c>
      <c r="B37" s="8" t="s">
        <v>828</v>
      </c>
      <c r="C37" s="8" t="s">
        <v>825</v>
      </c>
      <c r="D37" s="8">
        <v>42000</v>
      </c>
      <c r="E37" s="289">
        <v>0.06</v>
      </c>
      <c r="I37" s="298" t="str">
        <f>I3</f>
        <v>Developed</v>
      </c>
      <c r="J37" s="298"/>
      <c r="K37" s="299">
        <f>K3</f>
        <v>4.1514285714285726E-2</v>
      </c>
      <c r="L37" s="301" t="s">
        <v>969</v>
      </c>
      <c r="N37" s="8" t="s">
        <v>275</v>
      </c>
      <c r="O37" s="8">
        <v>9.5000000000000001E-2</v>
      </c>
    </row>
    <row r="38" spans="1:28" ht="29" x14ac:dyDescent="0.35">
      <c r="A38" s="8" t="s">
        <v>863</v>
      </c>
      <c r="B38" s="8" t="s">
        <v>828</v>
      </c>
      <c r="C38" s="8" t="s">
        <v>825</v>
      </c>
      <c r="D38" s="8">
        <v>39000</v>
      </c>
      <c r="E38" s="289">
        <v>1.3999999999999999E-2</v>
      </c>
      <c r="I38" s="298" t="str">
        <f>I4</f>
        <v>Developing</v>
      </c>
      <c r="J38" s="298"/>
      <c r="K38" s="302">
        <f>K4</f>
        <v>1.0725116279069769E-2</v>
      </c>
      <c r="L38" s="301" t="s">
        <v>970</v>
      </c>
    </row>
    <row r="39" spans="1:28" x14ac:dyDescent="0.35">
      <c r="A39" s="8" t="s">
        <v>864</v>
      </c>
      <c r="B39" s="8" t="s">
        <v>831</v>
      </c>
      <c r="C39" s="8" t="s">
        <v>825</v>
      </c>
      <c r="D39" s="8">
        <v>2000000</v>
      </c>
      <c r="E39" s="289">
        <v>0.105</v>
      </c>
    </row>
    <row r="40" spans="1:28" x14ac:dyDescent="0.35">
      <c r="A40" s="8" t="s">
        <v>865</v>
      </c>
      <c r="B40" s="8" t="s">
        <v>826</v>
      </c>
      <c r="C40" s="8" t="s">
        <v>825</v>
      </c>
      <c r="D40" s="8"/>
      <c r="E40" s="289"/>
    </row>
    <row r="41" spans="1:28" x14ac:dyDescent="0.35">
      <c r="A41" t="s">
        <v>866</v>
      </c>
      <c r="B41" t="s">
        <v>867</v>
      </c>
      <c r="C41" t="s">
        <v>868</v>
      </c>
      <c r="D41">
        <v>25</v>
      </c>
      <c r="E41" s="290">
        <v>1.25E-3</v>
      </c>
    </row>
    <row r="42" spans="1:28" x14ac:dyDescent="0.35">
      <c r="A42" t="s">
        <v>869</v>
      </c>
      <c r="B42" t="s">
        <v>828</v>
      </c>
      <c r="C42" t="s">
        <v>870</v>
      </c>
      <c r="D42">
        <v>198</v>
      </c>
      <c r="E42" s="290">
        <v>1.3000000000000001E-2</v>
      </c>
    </row>
    <row r="43" spans="1:28" x14ac:dyDescent="0.35">
      <c r="A43" t="s">
        <v>871</v>
      </c>
      <c r="B43" t="s">
        <v>846</v>
      </c>
      <c r="C43" t="s">
        <v>870</v>
      </c>
      <c r="E43" s="290"/>
    </row>
    <row r="44" spans="1:28" x14ac:dyDescent="0.35">
      <c r="A44" t="s">
        <v>872</v>
      </c>
      <c r="B44" t="s">
        <v>873</v>
      </c>
      <c r="C44" t="s">
        <v>874</v>
      </c>
      <c r="E44" s="290"/>
      <c r="I44" s="382" t="s">
        <v>964</v>
      </c>
      <c r="J44" s="382"/>
      <c r="K44" s="382"/>
    </row>
    <row r="45" spans="1:28" x14ac:dyDescent="0.35">
      <c r="A45" t="s">
        <v>875</v>
      </c>
      <c r="B45" t="s">
        <v>824</v>
      </c>
      <c r="C45" t="s">
        <v>870</v>
      </c>
      <c r="D45">
        <v>500</v>
      </c>
      <c r="E45" s="290">
        <v>0.01</v>
      </c>
      <c r="J45" s="304" t="s">
        <v>266</v>
      </c>
      <c r="K45" s="304" t="s">
        <v>269</v>
      </c>
      <c r="L45" s="304" t="s">
        <v>265</v>
      </c>
      <c r="M45" s="304" t="s">
        <v>55</v>
      </c>
      <c r="N45" s="304" t="s">
        <v>328</v>
      </c>
      <c r="O45" s="304" t="s">
        <v>263</v>
      </c>
      <c r="P45" s="304" t="s">
        <v>264</v>
      </c>
    </row>
    <row r="46" spans="1:28" x14ac:dyDescent="0.35">
      <c r="A46" t="s">
        <v>876</v>
      </c>
      <c r="B46" t="s">
        <v>828</v>
      </c>
      <c r="C46" t="s">
        <v>870</v>
      </c>
      <c r="D46">
        <v>300</v>
      </c>
      <c r="E46" s="290">
        <v>0.02</v>
      </c>
      <c r="I46" s="4" t="s">
        <v>962</v>
      </c>
      <c r="J46" s="25">
        <f>Overview!G61</f>
        <v>41.590378999999999</v>
      </c>
      <c r="K46" s="25">
        <f>Overview!D61</f>
        <v>63.620000000000005</v>
      </c>
      <c r="L46" s="25">
        <f>Overview!H61</f>
        <v>37.892000000000003</v>
      </c>
      <c r="M46" s="25">
        <f>Overview!E61</f>
        <v>112.086</v>
      </c>
      <c r="N46" s="25">
        <f>Overview!F61</f>
        <v>11.64</v>
      </c>
      <c r="O46" s="25">
        <f>Overview!C61</f>
        <v>424.73249499999997</v>
      </c>
      <c r="P46" s="25">
        <f>Overview!B61</f>
        <v>291.57500299999998</v>
      </c>
    </row>
    <row r="47" spans="1:28" x14ac:dyDescent="0.35">
      <c r="A47" t="s">
        <v>877</v>
      </c>
      <c r="B47" t="s">
        <v>828</v>
      </c>
      <c r="C47" t="s">
        <v>870</v>
      </c>
      <c r="D47">
        <v>590</v>
      </c>
      <c r="E47" s="290">
        <v>0.01</v>
      </c>
      <c r="I47" s="3" t="s">
        <v>963</v>
      </c>
      <c r="J47" s="47">
        <f>Overview!G63</f>
        <v>9.3904671483404825E-2</v>
      </c>
      <c r="K47" s="47">
        <f>Overview!D63</f>
        <v>6.904904722452361E-2</v>
      </c>
      <c r="L47" s="295">
        <f>Overview!H63</f>
        <v>3.7783413653916728E-2</v>
      </c>
      <c r="M47" s="295">
        <f>Overview!E63</f>
        <v>7.3043988269794732E-2</v>
      </c>
      <c r="N47" s="295">
        <f>Overview!F63</f>
        <v>6.420297848869278E-3</v>
      </c>
      <c r="O47" s="295">
        <f>Overview!C63</f>
        <v>1.5912564863420426E-2</v>
      </c>
      <c r="P47" s="295">
        <f>Overview!B63</f>
        <v>4.7831576561513219E-2</v>
      </c>
    </row>
    <row r="48" spans="1:28" x14ac:dyDescent="0.35">
      <c r="A48" t="s">
        <v>878</v>
      </c>
      <c r="B48" t="s">
        <v>867</v>
      </c>
      <c r="C48" t="s">
        <v>874</v>
      </c>
      <c r="D48">
        <v>29</v>
      </c>
      <c r="E48" s="290">
        <v>1.0999999999999999E-4</v>
      </c>
      <c r="I48" s="383" t="s">
        <v>591</v>
      </c>
      <c r="J48" s="383"/>
      <c r="K48" s="383"/>
    </row>
    <row r="49" spans="1:32" x14ac:dyDescent="0.35">
      <c r="A49" t="s">
        <v>879</v>
      </c>
      <c r="B49" t="s">
        <v>824</v>
      </c>
      <c r="C49" t="s">
        <v>870</v>
      </c>
      <c r="D49">
        <v>12</v>
      </c>
      <c r="E49" s="290">
        <v>0.01</v>
      </c>
      <c r="P49" s="141" t="s">
        <v>976</v>
      </c>
    </row>
    <row r="50" spans="1:32" x14ac:dyDescent="0.35">
      <c r="A50" t="s">
        <v>880</v>
      </c>
      <c r="B50" t="s">
        <v>873</v>
      </c>
      <c r="C50" t="s">
        <v>868</v>
      </c>
      <c r="D50">
        <v>17</v>
      </c>
      <c r="E50" s="290">
        <v>1E-3</v>
      </c>
    </row>
    <row r="51" spans="1:32" x14ac:dyDescent="0.35">
      <c r="A51" t="s">
        <v>881</v>
      </c>
      <c r="B51" t="s">
        <v>873</v>
      </c>
      <c r="C51" t="s">
        <v>870</v>
      </c>
      <c r="D51">
        <v>163</v>
      </c>
      <c r="E51" s="290">
        <v>9.300000000000001E-3</v>
      </c>
      <c r="P51" t="s">
        <v>328</v>
      </c>
      <c r="Q51" t="s">
        <v>263</v>
      </c>
      <c r="R51" t="s">
        <v>265</v>
      </c>
      <c r="S51" t="s">
        <v>264</v>
      </c>
      <c r="T51" t="s">
        <v>269</v>
      </c>
      <c r="U51" t="s">
        <v>55</v>
      </c>
      <c r="V51" t="s">
        <v>266</v>
      </c>
    </row>
    <row r="52" spans="1:32" x14ac:dyDescent="0.35">
      <c r="A52" t="s">
        <v>882</v>
      </c>
      <c r="B52" t="s">
        <v>828</v>
      </c>
      <c r="C52" t="s">
        <v>870</v>
      </c>
      <c r="D52">
        <v>64</v>
      </c>
      <c r="E52" s="290">
        <v>1.7000000000000001E-2</v>
      </c>
      <c r="O52" t="s">
        <v>975</v>
      </c>
      <c r="P52" s="32">
        <v>6.420297848869278E-3</v>
      </c>
      <c r="Q52" s="32">
        <v>1.5912564863420426E-2</v>
      </c>
      <c r="R52" s="32">
        <v>3.7783413653916728E-2</v>
      </c>
      <c r="S52" s="32">
        <v>4.7831576561513219E-2</v>
      </c>
      <c r="T52" s="32">
        <v>6.904904722452361E-2</v>
      </c>
      <c r="U52" s="32">
        <v>7.3043988269794732E-2</v>
      </c>
      <c r="V52" s="32">
        <v>9.3904671483404825E-2</v>
      </c>
    </row>
    <row r="53" spans="1:32" x14ac:dyDescent="0.35">
      <c r="A53" t="s">
        <v>883</v>
      </c>
      <c r="B53" t="s">
        <v>873</v>
      </c>
      <c r="C53" t="s">
        <v>868</v>
      </c>
      <c r="D53">
        <v>67</v>
      </c>
      <c r="E53" s="290">
        <v>5.0000000000000001E-3</v>
      </c>
    </row>
    <row r="54" spans="1:32" x14ac:dyDescent="0.35">
      <c r="A54" t="s">
        <v>884</v>
      </c>
      <c r="B54" t="s">
        <v>873</v>
      </c>
      <c r="C54" t="s">
        <v>868</v>
      </c>
      <c r="E54" s="290"/>
    </row>
    <row r="55" spans="1:32" x14ac:dyDescent="0.35">
      <c r="A55" t="s">
        <v>885</v>
      </c>
      <c r="B55" t="s">
        <v>873</v>
      </c>
      <c r="C55" t="s">
        <v>874</v>
      </c>
      <c r="E55" s="290"/>
    </row>
    <row r="56" spans="1:32" x14ac:dyDescent="0.35">
      <c r="A56" t="s">
        <v>886</v>
      </c>
      <c r="B56" t="s">
        <v>873</v>
      </c>
      <c r="C56" t="s">
        <v>874</v>
      </c>
      <c r="D56">
        <v>1</v>
      </c>
      <c r="E56" s="290">
        <v>2.0000000000000002E-5</v>
      </c>
    </row>
    <row r="57" spans="1:32" x14ac:dyDescent="0.35">
      <c r="A57" t="s">
        <v>887</v>
      </c>
      <c r="B57" t="s">
        <v>873</v>
      </c>
      <c r="C57" t="s">
        <v>868</v>
      </c>
      <c r="E57" s="290"/>
      <c r="S57" s="141"/>
    </row>
    <row r="58" spans="1:32" x14ac:dyDescent="0.35">
      <c r="A58" t="s">
        <v>888</v>
      </c>
      <c r="B58" t="s">
        <v>873</v>
      </c>
      <c r="C58" t="s">
        <v>868</v>
      </c>
      <c r="E58" s="290"/>
      <c r="R58" s="116"/>
      <c r="S58" s="116"/>
      <c r="T58" s="116"/>
      <c r="U58" s="116"/>
      <c r="V58" s="116"/>
      <c r="W58" s="116"/>
      <c r="X58" s="116"/>
      <c r="Y58" s="116"/>
      <c r="Z58" s="116"/>
      <c r="AA58" s="116"/>
      <c r="AB58" s="116"/>
      <c r="AC58" s="116"/>
      <c r="AD58" s="116"/>
      <c r="AE58" s="116"/>
      <c r="AF58" s="116"/>
    </row>
    <row r="59" spans="1:32" x14ac:dyDescent="0.35">
      <c r="A59" t="s">
        <v>889</v>
      </c>
      <c r="B59" t="s">
        <v>826</v>
      </c>
      <c r="C59" t="s">
        <v>870</v>
      </c>
      <c r="D59">
        <v>183000</v>
      </c>
      <c r="E59" s="290">
        <v>1.2E-2</v>
      </c>
      <c r="R59" s="116"/>
      <c r="S59" s="116"/>
      <c r="T59" s="116"/>
      <c r="U59" s="116"/>
      <c r="V59" s="116"/>
      <c r="W59" s="116"/>
      <c r="X59" s="116"/>
      <c r="Y59" s="116"/>
      <c r="Z59" s="116"/>
      <c r="AA59" s="116"/>
      <c r="AB59" s="116"/>
      <c r="AC59" s="116"/>
      <c r="AD59" s="116"/>
      <c r="AE59" s="116"/>
      <c r="AF59" s="116"/>
    </row>
    <row r="60" spans="1:32" x14ac:dyDescent="0.35">
      <c r="A60" t="s">
        <v>890</v>
      </c>
      <c r="B60" t="s">
        <v>873</v>
      </c>
      <c r="C60" t="s">
        <v>874</v>
      </c>
      <c r="E60" s="290"/>
      <c r="R60" s="116"/>
      <c r="S60" s="116"/>
      <c r="T60" s="116"/>
      <c r="U60" s="116"/>
      <c r="V60" s="116"/>
      <c r="W60" s="116"/>
      <c r="X60" s="116"/>
      <c r="Y60" s="116"/>
      <c r="Z60" s="116"/>
      <c r="AA60" s="116"/>
      <c r="AB60" s="116"/>
      <c r="AC60" s="116"/>
      <c r="AD60" s="116"/>
      <c r="AE60" s="116"/>
      <c r="AF60" s="116"/>
    </row>
    <row r="61" spans="1:32" x14ac:dyDescent="0.35">
      <c r="A61" t="s">
        <v>891</v>
      </c>
      <c r="B61" t="s">
        <v>873</v>
      </c>
      <c r="C61" t="s">
        <v>874</v>
      </c>
      <c r="D61">
        <v>1000</v>
      </c>
      <c r="E61" s="290">
        <v>2.5000000000000001E-2</v>
      </c>
      <c r="R61" s="116"/>
      <c r="S61" s="116"/>
      <c r="T61" s="116"/>
      <c r="U61" s="116"/>
      <c r="V61" s="116"/>
      <c r="W61" s="116"/>
      <c r="X61" s="116"/>
      <c r="Y61" s="116"/>
      <c r="Z61" s="116"/>
      <c r="AA61" s="116"/>
      <c r="AB61" s="116"/>
      <c r="AC61" s="116"/>
      <c r="AD61" s="116"/>
      <c r="AE61" s="116"/>
      <c r="AF61" s="116"/>
    </row>
    <row r="62" spans="1:32" x14ac:dyDescent="0.35">
      <c r="A62" t="s">
        <v>892</v>
      </c>
      <c r="B62" t="s">
        <v>873</v>
      </c>
      <c r="C62" t="s">
        <v>868</v>
      </c>
      <c r="E62" s="290"/>
      <c r="R62" s="116"/>
      <c r="S62" s="116"/>
      <c r="T62" s="116"/>
      <c r="U62" s="116"/>
      <c r="V62" s="116"/>
      <c r="W62" s="116"/>
      <c r="X62" s="116"/>
      <c r="Y62" s="116"/>
      <c r="Z62" s="116"/>
      <c r="AA62" s="116"/>
      <c r="AB62" s="116"/>
      <c r="AC62" s="116"/>
      <c r="AD62" s="116"/>
      <c r="AE62" s="116"/>
      <c r="AF62" s="116"/>
    </row>
    <row r="63" spans="1:32" x14ac:dyDescent="0.35">
      <c r="A63" t="s">
        <v>893</v>
      </c>
      <c r="B63" t="s">
        <v>846</v>
      </c>
      <c r="C63" t="s">
        <v>874</v>
      </c>
      <c r="D63">
        <v>5</v>
      </c>
      <c r="E63" s="290">
        <v>3.0000000000000001E-3</v>
      </c>
      <c r="R63" s="116"/>
      <c r="S63" s="116"/>
      <c r="T63" s="116"/>
      <c r="U63" s="116"/>
      <c r="V63" s="116"/>
      <c r="W63" s="116"/>
      <c r="X63" s="116"/>
      <c r="Y63" s="116"/>
      <c r="Z63" s="116"/>
      <c r="AA63" s="116"/>
      <c r="AB63" s="116"/>
      <c r="AC63" s="116"/>
      <c r="AD63" s="116"/>
      <c r="AE63" s="116"/>
      <c r="AF63" s="116"/>
    </row>
    <row r="64" spans="1:32" x14ac:dyDescent="0.35">
      <c r="A64" t="s">
        <v>894</v>
      </c>
      <c r="B64" t="s">
        <v>846</v>
      </c>
      <c r="C64" t="s">
        <v>874</v>
      </c>
      <c r="D64">
        <v>6400</v>
      </c>
      <c r="E64" s="290">
        <v>0.02</v>
      </c>
      <c r="R64" s="116"/>
      <c r="S64" s="116"/>
      <c r="T64" s="116"/>
      <c r="U64" s="116"/>
      <c r="V64" s="116"/>
      <c r="W64" s="116"/>
      <c r="X64" s="116"/>
      <c r="Y64" s="116"/>
      <c r="Z64" s="116"/>
      <c r="AA64" s="116"/>
      <c r="AB64" s="116"/>
      <c r="AC64" s="116"/>
      <c r="AD64" s="116"/>
      <c r="AE64" s="116"/>
      <c r="AF64" s="116"/>
    </row>
    <row r="65" spans="1:32" x14ac:dyDescent="0.35">
      <c r="A65" t="s">
        <v>895</v>
      </c>
      <c r="B65" t="s">
        <v>873</v>
      </c>
      <c r="C65" t="s">
        <v>874</v>
      </c>
      <c r="E65" s="290"/>
      <c r="R65" s="116"/>
      <c r="S65" s="116"/>
      <c r="T65" s="116"/>
      <c r="U65" s="116"/>
      <c r="V65" s="116"/>
      <c r="W65" s="116"/>
      <c r="X65" s="116"/>
      <c r="Y65" s="116"/>
      <c r="Z65" s="116"/>
      <c r="AA65" s="116"/>
      <c r="AB65" s="116"/>
      <c r="AC65" s="116"/>
      <c r="AD65" s="116"/>
      <c r="AE65" s="116"/>
      <c r="AF65" s="116"/>
    </row>
    <row r="66" spans="1:32" x14ac:dyDescent="0.35">
      <c r="A66" t="s">
        <v>896</v>
      </c>
      <c r="B66" t="s">
        <v>873</v>
      </c>
      <c r="C66" t="s">
        <v>874</v>
      </c>
      <c r="E66" s="290"/>
      <c r="R66" s="116"/>
      <c r="S66" s="116"/>
      <c r="T66" s="116"/>
      <c r="U66" s="116"/>
      <c r="V66" s="116"/>
      <c r="W66" s="116"/>
      <c r="X66" s="116"/>
      <c r="Y66" s="116"/>
      <c r="Z66" s="116"/>
      <c r="AA66" s="116"/>
      <c r="AB66" s="116"/>
      <c r="AC66" s="116"/>
      <c r="AD66" s="116"/>
      <c r="AE66" s="116"/>
      <c r="AF66" s="116"/>
    </row>
    <row r="67" spans="1:32" x14ac:dyDescent="0.35">
      <c r="A67" t="s">
        <v>897</v>
      </c>
      <c r="B67" t="s">
        <v>873</v>
      </c>
      <c r="C67" t="s">
        <v>868</v>
      </c>
      <c r="D67">
        <v>154</v>
      </c>
      <c r="E67" s="290">
        <v>1.5E-3</v>
      </c>
      <c r="R67" s="116"/>
      <c r="S67" s="116"/>
      <c r="T67" s="116"/>
      <c r="U67" s="116"/>
      <c r="V67" s="116"/>
      <c r="W67" s="116"/>
      <c r="X67" s="116"/>
      <c r="Y67" s="116"/>
      <c r="Z67" s="116"/>
      <c r="AA67" s="116"/>
      <c r="AB67" s="116"/>
      <c r="AC67" s="116"/>
      <c r="AD67" s="116"/>
      <c r="AE67" s="116"/>
      <c r="AF67" s="116"/>
    </row>
    <row r="68" spans="1:32" x14ac:dyDescent="0.35">
      <c r="A68" t="s">
        <v>898</v>
      </c>
      <c r="B68" t="s">
        <v>873</v>
      </c>
      <c r="C68" t="s">
        <v>870</v>
      </c>
      <c r="D68">
        <v>2</v>
      </c>
      <c r="E68" s="290">
        <v>2E-3</v>
      </c>
      <c r="R68" s="116"/>
      <c r="S68" s="116"/>
      <c r="T68" s="116"/>
      <c r="U68" s="116"/>
      <c r="V68" s="116"/>
      <c r="W68" s="116"/>
      <c r="X68" s="116"/>
      <c r="Y68" s="116"/>
      <c r="Z68" s="116"/>
      <c r="AA68" s="116"/>
      <c r="AB68" s="116"/>
      <c r="AC68" s="116"/>
      <c r="AD68" s="116"/>
      <c r="AE68" s="116"/>
      <c r="AF68" s="116"/>
    </row>
    <row r="69" spans="1:32" x14ac:dyDescent="0.35">
      <c r="A69" t="s">
        <v>899</v>
      </c>
      <c r="B69" t="s">
        <v>873</v>
      </c>
      <c r="C69" t="s">
        <v>868</v>
      </c>
      <c r="D69">
        <v>9</v>
      </c>
      <c r="E69" s="290">
        <v>6.0000000000000001E-3</v>
      </c>
      <c r="R69" s="116"/>
      <c r="S69" s="116"/>
      <c r="T69" s="116"/>
      <c r="U69" s="116"/>
      <c r="V69" s="116"/>
      <c r="W69" s="116"/>
      <c r="X69" s="116"/>
      <c r="Y69" s="116"/>
      <c r="Z69" s="116"/>
      <c r="AA69" s="116"/>
      <c r="AB69" s="116"/>
      <c r="AC69" s="116"/>
      <c r="AD69" s="116"/>
      <c r="AE69" s="116"/>
      <c r="AF69" s="116"/>
    </row>
    <row r="70" spans="1:32" x14ac:dyDescent="0.35">
      <c r="A70" t="s">
        <v>900</v>
      </c>
      <c r="B70" t="s">
        <v>873</v>
      </c>
      <c r="C70" t="s">
        <v>874</v>
      </c>
      <c r="D70">
        <v>100</v>
      </c>
      <c r="E70" s="290">
        <v>1E-3</v>
      </c>
      <c r="I70" s="382" t="s">
        <v>404</v>
      </c>
      <c r="J70" s="382"/>
      <c r="K70" s="382"/>
      <c r="R70" s="116"/>
      <c r="S70" s="116"/>
      <c r="T70" s="116"/>
      <c r="U70" s="116"/>
      <c r="V70" s="116"/>
      <c r="W70" s="116"/>
      <c r="X70" s="116"/>
      <c r="Y70" s="116"/>
      <c r="Z70" s="116"/>
      <c r="AA70" s="116"/>
      <c r="AB70" s="116"/>
      <c r="AC70" s="116"/>
      <c r="AD70" s="116"/>
      <c r="AE70" s="116"/>
      <c r="AF70" s="116"/>
    </row>
    <row r="71" spans="1:32" x14ac:dyDescent="0.35">
      <c r="A71" t="s">
        <v>901</v>
      </c>
      <c r="B71" t="s">
        <v>873</v>
      </c>
      <c r="C71" t="s">
        <v>868</v>
      </c>
      <c r="E71" s="290"/>
      <c r="J71" s="303" t="s">
        <v>263</v>
      </c>
      <c r="K71" s="303" t="s">
        <v>264</v>
      </c>
      <c r="L71" s="303" t="s">
        <v>265</v>
      </c>
      <c r="M71" s="303" t="s">
        <v>269</v>
      </c>
      <c r="N71" s="303" t="s">
        <v>55</v>
      </c>
      <c r="O71" s="303" t="s">
        <v>266</v>
      </c>
      <c r="P71" s="303" t="s">
        <v>65</v>
      </c>
      <c r="R71" s="116"/>
      <c r="S71" s="116"/>
      <c r="T71" s="116"/>
      <c r="U71" s="116"/>
      <c r="V71" s="116"/>
      <c r="W71" s="116"/>
      <c r="X71" s="116"/>
      <c r="Y71" s="116"/>
      <c r="Z71" s="116"/>
      <c r="AA71" s="116"/>
      <c r="AB71" s="116"/>
      <c r="AC71" s="116"/>
      <c r="AD71" s="116"/>
      <c r="AE71" s="116"/>
      <c r="AF71" s="116"/>
    </row>
    <row r="72" spans="1:32" x14ac:dyDescent="0.35">
      <c r="A72" t="s">
        <v>902</v>
      </c>
      <c r="B72" t="s">
        <v>873</v>
      </c>
      <c r="C72" t="s">
        <v>868</v>
      </c>
      <c r="E72" s="290"/>
      <c r="I72" t="s">
        <v>404</v>
      </c>
      <c r="J72" s="150">
        <f>Overview!C44</f>
        <v>19.648938957296306</v>
      </c>
      <c r="K72" s="150">
        <f>Overview!B44</f>
        <v>52.164840897235266</v>
      </c>
      <c r="L72" s="150">
        <f>Overview!H44</f>
        <v>126.89703514141466</v>
      </c>
      <c r="M72" s="150">
        <f>Overview!D44</f>
        <v>73.282442748091597</v>
      </c>
      <c r="N72" s="150">
        <f>Overview!E44</f>
        <v>4.3914592715612174E-3</v>
      </c>
      <c r="O72" s="150">
        <f>Overview!G44</f>
        <v>256.1287446502709</v>
      </c>
      <c r="P72" s="150">
        <f>Overview!F44</f>
        <v>107.14285714285714</v>
      </c>
      <c r="R72" s="116"/>
      <c r="S72" s="116"/>
      <c r="T72" s="116"/>
      <c r="U72" s="116"/>
      <c r="V72" s="116"/>
      <c r="W72" s="116"/>
      <c r="X72" s="116"/>
      <c r="Y72" s="116"/>
      <c r="Z72" s="116"/>
      <c r="AA72" s="116"/>
      <c r="AB72" s="116"/>
      <c r="AC72" s="116"/>
      <c r="AD72" s="116"/>
      <c r="AE72" s="116"/>
      <c r="AF72" s="116"/>
    </row>
    <row r="73" spans="1:32" x14ac:dyDescent="0.35">
      <c r="A73" t="s">
        <v>903</v>
      </c>
      <c r="B73" t="s">
        <v>867</v>
      </c>
      <c r="C73" t="s">
        <v>874</v>
      </c>
      <c r="D73">
        <v>22600</v>
      </c>
      <c r="E73" s="290">
        <v>6.9999999999999993E-3</v>
      </c>
      <c r="I73" s="383" t="s">
        <v>591</v>
      </c>
      <c r="J73" s="383"/>
      <c r="K73" s="383"/>
      <c r="R73" s="116"/>
      <c r="S73" s="116"/>
      <c r="T73" s="116"/>
      <c r="U73" s="116"/>
      <c r="V73" s="116"/>
      <c r="W73" s="116"/>
      <c r="X73" s="116"/>
      <c r="Y73" s="116"/>
      <c r="Z73" s="116"/>
      <c r="AA73" s="116"/>
      <c r="AB73" s="116"/>
      <c r="AC73" s="116"/>
      <c r="AD73" s="116"/>
      <c r="AE73" s="116"/>
      <c r="AF73" s="116"/>
    </row>
    <row r="74" spans="1:32" x14ac:dyDescent="0.35">
      <c r="A74" t="s">
        <v>904</v>
      </c>
      <c r="B74" t="s">
        <v>826</v>
      </c>
      <c r="C74" t="s">
        <v>874</v>
      </c>
      <c r="D74">
        <v>2300</v>
      </c>
      <c r="E74" s="290">
        <v>2E-3</v>
      </c>
      <c r="R74" s="116"/>
      <c r="S74" s="116"/>
      <c r="T74" s="116"/>
      <c r="U74" s="116"/>
      <c r="V74" s="116"/>
      <c r="W74" s="116"/>
      <c r="X74" s="116"/>
      <c r="Y74" s="116"/>
      <c r="Z74" s="116"/>
      <c r="AA74" s="116"/>
      <c r="AB74" s="116"/>
      <c r="AC74" s="116"/>
      <c r="AD74" s="116"/>
      <c r="AE74" s="116"/>
      <c r="AF74" s="116"/>
    </row>
    <row r="75" spans="1:32" x14ac:dyDescent="0.35">
      <c r="A75" t="s">
        <v>905</v>
      </c>
      <c r="B75" t="s">
        <v>846</v>
      </c>
      <c r="C75" t="s">
        <v>870</v>
      </c>
      <c r="E75" s="290"/>
      <c r="R75" s="116"/>
      <c r="S75" s="116"/>
      <c r="T75" s="116"/>
      <c r="U75" s="116"/>
      <c r="V75" s="116"/>
      <c r="W75" s="116"/>
      <c r="X75" s="116"/>
      <c r="Y75" s="116"/>
      <c r="Z75" s="116"/>
      <c r="AA75" s="116"/>
      <c r="AB75" s="116"/>
      <c r="AC75" s="116"/>
      <c r="AD75" s="116"/>
      <c r="AE75" s="116"/>
      <c r="AF75" s="116"/>
    </row>
    <row r="76" spans="1:32" x14ac:dyDescent="0.35">
      <c r="A76" t="s">
        <v>906</v>
      </c>
      <c r="B76" t="s">
        <v>873</v>
      </c>
      <c r="C76" t="s">
        <v>874</v>
      </c>
      <c r="E76" s="290"/>
      <c r="R76" s="116"/>
      <c r="S76" s="116"/>
      <c r="T76" s="116"/>
      <c r="U76" s="116"/>
      <c r="V76" s="116"/>
      <c r="W76" s="116"/>
      <c r="X76" s="116"/>
      <c r="Y76" s="116"/>
      <c r="Z76" s="116"/>
      <c r="AA76" s="116"/>
      <c r="AB76" s="116"/>
      <c r="AC76" s="116"/>
      <c r="AD76" s="116"/>
      <c r="AE76" s="116"/>
      <c r="AF76" s="116"/>
    </row>
    <row r="77" spans="1:32" x14ac:dyDescent="0.35">
      <c r="A77" t="s">
        <v>907</v>
      </c>
      <c r="B77" t="s">
        <v>873</v>
      </c>
      <c r="C77" t="s">
        <v>874</v>
      </c>
      <c r="E77" s="290"/>
      <c r="R77" s="116"/>
      <c r="S77" s="116"/>
      <c r="T77" s="116"/>
      <c r="U77" s="116"/>
      <c r="V77" s="116"/>
      <c r="W77" s="116"/>
      <c r="X77" s="116"/>
      <c r="Y77" s="116"/>
      <c r="Z77" s="116"/>
      <c r="AA77" s="116"/>
      <c r="AB77" s="116"/>
      <c r="AC77" s="116"/>
      <c r="AD77" s="116"/>
      <c r="AE77" s="116"/>
      <c r="AF77" s="116"/>
    </row>
    <row r="78" spans="1:32" x14ac:dyDescent="0.35">
      <c r="A78" t="s">
        <v>908</v>
      </c>
      <c r="B78" t="s">
        <v>873</v>
      </c>
      <c r="C78" t="s">
        <v>868</v>
      </c>
      <c r="E78" s="290"/>
      <c r="R78" s="116"/>
      <c r="S78" s="116"/>
      <c r="T78" s="116"/>
      <c r="U78" s="116"/>
      <c r="V78" s="116"/>
      <c r="W78" s="116"/>
      <c r="X78" s="116"/>
      <c r="Y78" s="116"/>
      <c r="Z78" s="116"/>
      <c r="AA78" s="116"/>
      <c r="AB78" s="116"/>
      <c r="AC78" s="116"/>
      <c r="AD78" s="116"/>
      <c r="AE78" s="116"/>
      <c r="AF78" s="116"/>
    </row>
    <row r="79" spans="1:32" x14ac:dyDescent="0.35">
      <c r="A79" t="s">
        <v>909</v>
      </c>
      <c r="B79" t="s">
        <v>846</v>
      </c>
      <c r="C79" t="s">
        <v>870</v>
      </c>
      <c r="D79">
        <v>350</v>
      </c>
      <c r="E79" s="290">
        <v>0.01</v>
      </c>
      <c r="R79" s="116"/>
      <c r="S79" s="116"/>
      <c r="T79" s="116"/>
      <c r="U79" s="116"/>
      <c r="V79" s="116"/>
      <c r="W79" s="116"/>
      <c r="X79" s="116"/>
      <c r="Y79" s="116"/>
      <c r="Z79" s="116"/>
      <c r="AA79" s="116"/>
      <c r="AB79" s="116"/>
      <c r="AC79" s="116"/>
      <c r="AD79" s="116"/>
      <c r="AE79" s="116"/>
      <c r="AF79" s="116"/>
    </row>
    <row r="80" spans="1:32" x14ac:dyDescent="0.35">
      <c r="A80" t="s">
        <v>910</v>
      </c>
      <c r="B80" t="s">
        <v>873</v>
      </c>
      <c r="C80" t="s">
        <v>868</v>
      </c>
      <c r="E80" s="290"/>
      <c r="R80" s="116"/>
      <c r="S80" s="116"/>
      <c r="T80" s="116"/>
      <c r="U80" s="116"/>
      <c r="V80" s="116"/>
      <c r="W80" s="116"/>
      <c r="X80" s="116"/>
      <c r="Y80" s="116"/>
      <c r="Z80" s="116"/>
      <c r="AA80" s="116"/>
      <c r="AB80" s="116"/>
      <c r="AC80" s="116"/>
      <c r="AD80" s="116"/>
      <c r="AE80" s="116"/>
      <c r="AF80" s="116"/>
    </row>
    <row r="81" spans="1:32" x14ac:dyDescent="0.35">
      <c r="A81" t="s">
        <v>911</v>
      </c>
      <c r="B81" t="s">
        <v>873</v>
      </c>
      <c r="C81" t="s">
        <v>868</v>
      </c>
      <c r="D81">
        <v>130</v>
      </c>
      <c r="E81" s="290">
        <v>2.06E-2</v>
      </c>
      <c r="R81" s="116"/>
      <c r="S81" s="116"/>
      <c r="T81" s="116"/>
      <c r="U81" s="116"/>
      <c r="V81" s="116"/>
      <c r="W81" s="116"/>
      <c r="X81" s="116"/>
      <c r="Y81" s="116"/>
      <c r="Z81" s="116"/>
      <c r="AA81" s="116"/>
      <c r="AB81" s="116"/>
      <c r="AC81" s="116"/>
      <c r="AD81" s="116"/>
      <c r="AE81" s="116"/>
      <c r="AF81" s="116"/>
    </row>
    <row r="82" spans="1:32" x14ac:dyDescent="0.35">
      <c r="A82" t="s">
        <v>912</v>
      </c>
      <c r="B82" t="s">
        <v>826</v>
      </c>
      <c r="C82" t="s">
        <v>870</v>
      </c>
      <c r="D82">
        <v>1500</v>
      </c>
      <c r="E82" s="290">
        <v>4.0000000000000001E-3</v>
      </c>
      <c r="R82" s="116"/>
      <c r="S82" s="116"/>
      <c r="T82" s="116"/>
      <c r="U82" s="116"/>
      <c r="V82" s="116"/>
      <c r="W82" s="116"/>
      <c r="X82" s="116"/>
      <c r="Y82" s="116"/>
      <c r="Z82" s="116"/>
      <c r="AA82" s="116"/>
      <c r="AB82" s="116"/>
      <c r="AC82" s="116"/>
      <c r="AD82" s="116"/>
      <c r="AE82" s="116"/>
      <c r="AF82" s="116"/>
    </row>
    <row r="83" spans="1:32" x14ac:dyDescent="0.35">
      <c r="A83" t="s">
        <v>913</v>
      </c>
      <c r="B83" t="s">
        <v>873</v>
      </c>
      <c r="C83" t="s">
        <v>868</v>
      </c>
      <c r="D83">
        <v>25.7</v>
      </c>
      <c r="E83" s="290">
        <v>1E-3</v>
      </c>
      <c r="R83" s="116"/>
      <c r="S83" s="116"/>
      <c r="T83" s="116"/>
      <c r="U83" s="116"/>
      <c r="V83" s="116"/>
      <c r="W83" s="116"/>
      <c r="X83" s="116"/>
      <c r="Y83" s="116"/>
      <c r="Z83" s="116"/>
      <c r="AA83" s="116"/>
      <c r="AB83" s="116"/>
      <c r="AC83" s="116"/>
      <c r="AD83" s="116"/>
      <c r="AE83" s="116"/>
      <c r="AF83" s="116"/>
    </row>
    <row r="84" spans="1:32" x14ac:dyDescent="0.35">
      <c r="A84" t="s">
        <v>914</v>
      </c>
      <c r="B84" t="s">
        <v>873</v>
      </c>
      <c r="C84" t="s">
        <v>870</v>
      </c>
      <c r="D84">
        <v>300</v>
      </c>
      <c r="E84" s="290">
        <v>2.1000000000000001E-2</v>
      </c>
      <c r="R84" s="116"/>
      <c r="S84" s="116"/>
      <c r="T84" s="116"/>
      <c r="U84" s="116"/>
      <c r="V84" s="116"/>
      <c r="W84" s="116"/>
      <c r="X84" s="116"/>
      <c r="Y84" s="116"/>
      <c r="Z84" s="116"/>
      <c r="AA84" s="116"/>
      <c r="AB84" s="116"/>
      <c r="AC84" s="116"/>
      <c r="AD84" s="116"/>
      <c r="AE84" s="116"/>
      <c r="AF84" s="116"/>
    </row>
    <row r="85" spans="1:32" x14ac:dyDescent="0.35">
      <c r="A85" t="s">
        <v>915</v>
      </c>
      <c r="B85" t="s">
        <v>846</v>
      </c>
      <c r="C85" t="s">
        <v>874</v>
      </c>
      <c r="D85">
        <v>1000</v>
      </c>
      <c r="E85" s="290">
        <v>0.01</v>
      </c>
      <c r="R85" s="116"/>
      <c r="S85" s="116"/>
      <c r="T85" s="116"/>
      <c r="U85" s="116"/>
      <c r="V85" s="116"/>
      <c r="W85" s="116"/>
      <c r="X85" s="116"/>
      <c r="Y85" s="116"/>
      <c r="Z85" s="116"/>
      <c r="AA85" s="116"/>
      <c r="AB85" s="116"/>
      <c r="AC85" s="116"/>
      <c r="AD85" s="116"/>
      <c r="AE85" s="116"/>
      <c r="AF85" s="116"/>
    </row>
    <row r="86" spans="1:32" x14ac:dyDescent="0.35">
      <c r="A86" t="s">
        <v>916</v>
      </c>
      <c r="B86" t="s">
        <v>873</v>
      </c>
      <c r="C86" t="s">
        <v>868</v>
      </c>
      <c r="E86" s="290"/>
    </row>
    <row r="87" spans="1:32" x14ac:dyDescent="0.35">
      <c r="A87" t="s">
        <v>917</v>
      </c>
      <c r="B87" t="s">
        <v>867</v>
      </c>
      <c r="C87" t="s">
        <v>874</v>
      </c>
      <c r="E87" s="290"/>
    </row>
    <row r="88" spans="1:32" x14ac:dyDescent="0.35">
      <c r="A88" t="s">
        <v>918</v>
      </c>
      <c r="B88" t="s">
        <v>873</v>
      </c>
      <c r="C88" t="s">
        <v>870</v>
      </c>
      <c r="E88" s="290"/>
    </row>
    <row r="89" spans="1:32" x14ac:dyDescent="0.35">
      <c r="A89" t="s">
        <v>919</v>
      </c>
      <c r="B89" t="s">
        <v>873</v>
      </c>
      <c r="C89" t="s">
        <v>868</v>
      </c>
      <c r="E89" s="290"/>
    </row>
    <row r="90" spans="1:32" x14ac:dyDescent="0.35">
      <c r="A90" t="s">
        <v>920</v>
      </c>
      <c r="B90" t="s">
        <v>873</v>
      </c>
      <c r="C90" t="s">
        <v>874</v>
      </c>
      <c r="E90" s="290"/>
    </row>
    <row r="91" spans="1:32" x14ac:dyDescent="0.35">
      <c r="A91" t="s">
        <v>921</v>
      </c>
      <c r="B91" t="s">
        <v>867</v>
      </c>
      <c r="C91" t="s">
        <v>874</v>
      </c>
      <c r="D91">
        <v>6000</v>
      </c>
      <c r="E91" s="290">
        <v>0.02</v>
      </c>
    </row>
    <row r="92" spans="1:32" x14ac:dyDescent="0.35">
      <c r="A92" t="s">
        <v>922</v>
      </c>
      <c r="B92" t="s">
        <v>828</v>
      </c>
      <c r="C92" t="s">
        <v>870</v>
      </c>
      <c r="D92">
        <v>5000</v>
      </c>
      <c r="E92" s="290">
        <v>0.02</v>
      </c>
    </row>
    <row r="93" spans="1:32" x14ac:dyDescent="0.35">
      <c r="A93" t="s">
        <v>923</v>
      </c>
      <c r="B93" t="s">
        <v>828</v>
      </c>
      <c r="C93" t="s">
        <v>870</v>
      </c>
      <c r="D93">
        <v>5300</v>
      </c>
      <c r="E93" s="290">
        <v>3.0000000000000001E-3</v>
      </c>
    </row>
    <row r="94" spans="1:32" x14ac:dyDescent="0.35">
      <c r="A94" t="s">
        <v>924</v>
      </c>
      <c r="B94" t="s">
        <v>873</v>
      </c>
      <c r="C94" t="s">
        <v>868</v>
      </c>
      <c r="E94" s="290"/>
    </row>
    <row r="95" spans="1:32" x14ac:dyDescent="0.35">
      <c r="A95" t="s">
        <v>925</v>
      </c>
      <c r="B95" t="s">
        <v>873</v>
      </c>
      <c r="C95" t="s">
        <v>874</v>
      </c>
      <c r="E95" s="290"/>
    </row>
    <row r="96" spans="1:32" x14ac:dyDescent="0.35">
      <c r="A96" t="s">
        <v>926</v>
      </c>
      <c r="B96" t="s">
        <v>828</v>
      </c>
      <c r="C96" t="s">
        <v>870</v>
      </c>
      <c r="D96">
        <v>530</v>
      </c>
      <c r="E96" s="290">
        <v>0.01</v>
      </c>
    </row>
    <row r="97" spans="1:5" x14ac:dyDescent="0.35">
      <c r="A97" t="s">
        <v>927</v>
      </c>
      <c r="B97" t="s">
        <v>873</v>
      </c>
      <c r="C97" t="s">
        <v>868</v>
      </c>
      <c r="E97" s="290"/>
    </row>
    <row r="98" spans="1:5" x14ac:dyDescent="0.35">
      <c r="A98" t="s">
        <v>928</v>
      </c>
      <c r="B98" t="s">
        <v>873</v>
      </c>
      <c r="C98" t="s">
        <v>870</v>
      </c>
      <c r="D98">
        <v>700</v>
      </c>
      <c r="E98" s="290">
        <v>2E-3</v>
      </c>
    </row>
    <row r="99" spans="1:5" x14ac:dyDescent="0.35">
      <c r="A99" t="s">
        <v>929</v>
      </c>
      <c r="B99" t="s">
        <v>873</v>
      </c>
      <c r="C99" t="s">
        <v>868</v>
      </c>
      <c r="E99" s="290"/>
    </row>
    <row r="100" spans="1:5" x14ac:dyDescent="0.35">
      <c r="A100" t="s">
        <v>930</v>
      </c>
      <c r="B100" t="s">
        <v>867</v>
      </c>
      <c r="C100" t="s">
        <v>931</v>
      </c>
      <c r="E100" s="290"/>
    </row>
    <row r="101" spans="1:5" x14ac:dyDescent="0.35">
      <c r="A101" t="s">
        <v>932</v>
      </c>
      <c r="B101" t="s">
        <v>873</v>
      </c>
      <c r="C101" t="s">
        <v>874</v>
      </c>
      <c r="E101" s="290"/>
    </row>
    <row r="102" spans="1:5" x14ac:dyDescent="0.35">
      <c r="A102" t="s">
        <v>933</v>
      </c>
      <c r="B102" t="s">
        <v>873</v>
      </c>
      <c r="C102" t="s">
        <v>868</v>
      </c>
      <c r="E102" s="290"/>
    </row>
    <row r="103" spans="1:5" x14ac:dyDescent="0.35">
      <c r="A103" t="s">
        <v>934</v>
      </c>
      <c r="B103" t="s">
        <v>826</v>
      </c>
      <c r="C103" t="s">
        <v>870</v>
      </c>
      <c r="D103">
        <v>15600</v>
      </c>
      <c r="E103" s="290">
        <v>0.03</v>
      </c>
    </row>
    <row r="104" spans="1:5" x14ac:dyDescent="0.35">
      <c r="A104" t="s">
        <v>935</v>
      </c>
      <c r="B104" t="s">
        <v>873</v>
      </c>
      <c r="C104" t="s">
        <v>868</v>
      </c>
      <c r="D104">
        <v>130</v>
      </c>
      <c r="E104" s="290">
        <v>0.02</v>
      </c>
    </row>
    <row r="105" spans="1:5" x14ac:dyDescent="0.35">
      <c r="A105" t="s">
        <v>936</v>
      </c>
      <c r="B105" t="s">
        <v>846</v>
      </c>
      <c r="C105" t="s">
        <v>874</v>
      </c>
      <c r="D105">
        <v>800</v>
      </c>
      <c r="E105" s="290">
        <v>2.0000000000000001E-4</v>
      </c>
    </row>
    <row r="106" spans="1:5" x14ac:dyDescent="0.35">
      <c r="A106" t="s">
        <v>937</v>
      </c>
      <c r="B106" t="s">
        <v>828</v>
      </c>
      <c r="C106" t="s">
        <v>870</v>
      </c>
      <c r="D106">
        <v>11600</v>
      </c>
      <c r="E106" s="290">
        <v>1.4999999999999999E-2</v>
      </c>
    </row>
    <row r="107" spans="1:5" x14ac:dyDescent="0.35">
      <c r="A107" t="s">
        <v>938</v>
      </c>
      <c r="B107" t="s">
        <v>873</v>
      </c>
      <c r="C107" t="s">
        <v>868</v>
      </c>
      <c r="E107" s="290"/>
    </row>
    <row r="108" spans="1:5" x14ac:dyDescent="0.35">
      <c r="A108" t="s">
        <v>939</v>
      </c>
      <c r="B108" t="s">
        <v>873</v>
      </c>
      <c r="C108" t="s">
        <v>874</v>
      </c>
      <c r="D108">
        <v>3.1</v>
      </c>
      <c r="E108" s="290">
        <v>2.0000000000000001E-4</v>
      </c>
    </row>
    <row r="109" spans="1:5" x14ac:dyDescent="0.35">
      <c r="A109" t="s">
        <v>940</v>
      </c>
      <c r="B109" t="s">
        <v>873</v>
      </c>
      <c r="C109" t="s">
        <v>874</v>
      </c>
      <c r="E109" s="290"/>
    </row>
    <row r="110" spans="1:5" x14ac:dyDescent="0.35">
      <c r="A110" t="s">
        <v>941</v>
      </c>
      <c r="B110" t="s">
        <v>824</v>
      </c>
      <c r="C110" t="s">
        <v>868</v>
      </c>
      <c r="E110" s="290"/>
    </row>
    <row r="111" spans="1:5" x14ac:dyDescent="0.35">
      <c r="A111" t="s">
        <v>942</v>
      </c>
      <c r="B111" t="s">
        <v>826</v>
      </c>
      <c r="C111" t="s">
        <v>868</v>
      </c>
      <c r="E111" s="290"/>
    </row>
    <row r="112" spans="1:5" x14ac:dyDescent="0.35">
      <c r="A112" t="s">
        <v>943</v>
      </c>
      <c r="B112" t="s">
        <v>867</v>
      </c>
      <c r="C112" t="s">
        <v>868</v>
      </c>
      <c r="E112" s="290"/>
    </row>
    <row r="113" spans="1:5" x14ac:dyDescent="0.35">
      <c r="A113" t="s">
        <v>944</v>
      </c>
      <c r="B113" t="s">
        <v>828</v>
      </c>
      <c r="C113" t="s">
        <v>868</v>
      </c>
      <c r="E113" s="290"/>
    </row>
    <row r="114" spans="1:5" x14ac:dyDescent="0.35">
      <c r="A114" t="s">
        <v>945</v>
      </c>
      <c r="B114" t="s">
        <v>946</v>
      </c>
      <c r="C114" t="s">
        <v>868</v>
      </c>
      <c r="E114" s="290"/>
    </row>
    <row r="115" spans="1:5" x14ac:dyDescent="0.35">
      <c r="A115" t="s">
        <v>947</v>
      </c>
      <c r="B115" t="s">
        <v>867</v>
      </c>
      <c r="C115" t="s">
        <v>874</v>
      </c>
      <c r="E115" s="290"/>
    </row>
    <row r="116" spans="1:5" x14ac:dyDescent="0.35">
      <c r="A116" t="s">
        <v>948</v>
      </c>
      <c r="B116" t="s">
        <v>824</v>
      </c>
      <c r="C116" t="s">
        <v>874</v>
      </c>
      <c r="E116" s="290"/>
    </row>
    <row r="117" spans="1:5" x14ac:dyDescent="0.35">
      <c r="A117" t="s">
        <v>949</v>
      </c>
      <c r="B117" t="s">
        <v>826</v>
      </c>
      <c r="C117" t="s">
        <v>874</v>
      </c>
      <c r="D117">
        <v>70</v>
      </c>
      <c r="E117" s="290">
        <v>3.0000000000000001E-3</v>
      </c>
    </row>
    <row r="118" spans="1:5" x14ac:dyDescent="0.35">
      <c r="A118" t="s">
        <v>950</v>
      </c>
      <c r="B118" t="s">
        <v>824</v>
      </c>
      <c r="C118" t="s">
        <v>874</v>
      </c>
      <c r="D118">
        <v>1000</v>
      </c>
      <c r="E118" s="290">
        <v>3.7999999999999999E-2</v>
      </c>
    </row>
    <row r="119" spans="1:5" x14ac:dyDescent="0.35">
      <c r="A119" t="s">
        <v>951</v>
      </c>
      <c r="B119" t="s">
        <v>824</v>
      </c>
      <c r="C119" t="s">
        <v>874</v>
      </c>
      <c r="D119">
        <v>150</v>
      </c>
      <c r="E119" s="290">
        <v>6.0000000000000001E-3</v>
      </c>
    </row>
    <row r="120" spans="1:5" x14ac:dyDescent="0.35">
      <c r="A120" t="s">
        <v>493</v>
      </c>
      <c r="B120" t="s">
        <v>826</v>
      </c>
      <c r="C120" t="s">
        <v>874</v>
      </c>
      <c r="E120" s="290"/>
    </row>
    <row r="121" spans="1:5" x14ac:dyDescent="0.35">
      <c r="A121" t="s">
        <v>952</v>
      </c>
      <c r="B121" t="s">
        <v>828</v>
      </c>
      <c r="C121" t="s">
        <v>874</v>
      </c>
      <c r="E121" s="290"/>
    </row>
    <row r="122" spans="1:5" x14ac:dyDescent="0.35">
      <c r="A122" t="s">
        <v>953</v>
      </c>
      <c r="B122" t="s">
        <v>826</v>
      </c>
      <c r="C122" t="s">
        <v>874</v>
      </c>
      <c r="E122" s="290"/>
    </row>
    <row r="123" spans="1:5" x14ac:dyDescent="0.35">
      <c r="A123" t="s">
        <v>954</v>
      </c>
      <c r="B123" t="s">
        <v>846</v>
      </c>
      <c r="C123" t="s">
        <v>874</v>
      </c>
      <c r="D123">
        <v>80</v>
      </c>
      <c r="E123" s="290">
        <v>1.1000000000000001E-2</v>
      </c>
    </row>
    <row r="124" spans="1:5" x14ac:dyDescent="0.35">
      <c r="A124" t="s">
        <v>470</v>
      </c>
      <c r="B124" t="s">
        <v>826</v>
      </c>
      <c r="C124" t="s">
        <v>874</v>
      </c>
      <c r="E124" s="290"/>
    </row>
    <row r="125" spans="1:5" x14ac:dyDescent="0.35">
      <c r="A125" t="s">
        <v>955</v>
      </c>
      <c r="B125" t="s">
        <v>828</v>
      </c>
      <c r="C125" t="s">
        <v>874</v>
      </c>
      <c r="E125" s="290"/>
    </row>
    <row r="126" spans="1:5" x14ac:dyDescent="0.35">
      <c r="A126" t="s">
        <v>956</v>
      </c>
      <c r="B126" t="s">
        <v>828</v>
      </c>
      <c r="C126" t="s">
        <v>874</v>
      </c>
      <c r="E126" s="290"/>
    </row>
    <row r="127" spans="1:5" x14ac:dyDescent="0.35">
      <c r="A127" t="s">
        <v>390</v>
      </c>
      <c r="B127" t="s">
        <v>826</v>
      </c>
      <c r="C127" t="s">
        <v>874</v>
      </c>
      <c r="D127">
        <v>1500</v>
      </c>
      <c r="E127" s="290">
        <v>0.04</v>
      </c>
    </row>
    <row r="128" spans="1:5" x14ac:dyDescent="0.35">
      <c r="A128" t="s">
        <v>957</v>
      </c>
      <c r="B128" t="s">
        <v>826</v>
      </c>
      <c r="C128" t="s">
        <v>874</v>
      </c>
      <c r="E128" s="290"/>
    </row>
    <row r="129" spans="1:5" x14ac:dyDescent="0.35">
      <c r="A129" t="s">
        <v>958</v>
      </c>
      <c r="B129" t="s">
        <v>824</v>
      </c>
      <c r="C129" t="s">
        <v>874</v>
      </c>
      <c r="E129" s="290"/>
    </row>
    <row r="130" spans="1:5" x14ac:dyDescent="0.35">
      <c r="A130" t="s">
        <v>959</v>
      </c>
      <c r="B130" t="s">
        <v>873</v>
      </c>
      <c r="C130" t="s">
        <v>874</v>
      </c>
      <c r="E130" s="290"/>
    </row>
    <row r="131" spans="1:5" x14ac:dyDescent="0.35">
      <c r="A131" t="s">
        <v>55</v>
      </c>
      <c r="B131" t="s">
        <v>826</v>
      </c>
      <c r="C131" t="s">
        <v>874</v>
      </c>
      <c r="E131" s="290"/>
    </row>
    <row r="132" spans="1:5" x14ac:dyDescent="0.35">
      <c r="A132" t="s">
        <v>328</v>
      </c>
      <c r="B132" t="s">
        <v>826</v>
      </c>
      <c r="C132" t="s">
        <v>874</v>
      </c>
      <c r="E132" s="290"/>
    </row>
  </sheetData>
  <sortState xmlns:xlrd2="http://schemas.microsoft.com/office/spreadsheetml/2017/richdata2" columnSort="1" ref="P51:W52">
    <sortCondition ref="P52:W52"/>
  </sortState>
  <mergeCells count="8">
    <mergeCell ref="I1:J1"/>
    <mergeCell ref="I70:K70"/>
    <mergeCell ref="I73:K73"/>
    <mergeCell ref="M27:N27"/>
    <mergeCell ref="I44:K44"/>
    <mergeCell ref="L29:L35"/>
    <mergeCell ref="I27:J27"/>
    <mergeCell ref="I48:K48"/>
  </mergeCells>
  <conditionalFormatting sqref="D3:D40">
    <cfRule type="containsText" dxfId="4" priority="3" operator="containsText" text="billion">
      <formula>NOT(ISERROR(SEARCH("billion",D3)))</formula>
    </cfRule>
    <cfRule type="containsText" dxfId="3" priority="4" operator="containsText" text="trillion">
      <formula>NOT(ISERROR(SEARCH("trillion",D3)))</formula>
    </cfRule>
    <cfRule type="containsText" dxfId="2" priority="5" operator="containsText" text="million">
      <formula>NOT(ISERROR(SEARCH("million",D3)))</formula>
    </cfRule>
  </conditionalFormatting>
  <conditionalFormatting sqref="D41:D132">
    <cfRule type="containsText" dxfId="1" priority="1" operator="containsText" text="billion">
      <formula>NOT(ISERROR(SEARCH("billion",D41)))</formula>
    </cfRule>
    <cfRule type="containsText" dxfId="0" priority="2" operator="containsText" text="million">
      <formula>NOT(ISERROR(SEARCH("million",D41)))</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BI115"/>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A12" sqref="A12"/>
    </sheetView>
  </sheetViews>
  <sheetFormatPr defaultRowHeight="14.5" x14ac:dyDescent="0.35"/>
  <cols>
    <col min="1" max="1" width="67.1796875" style="106" customWidth="1"/>
    <col min="2" max="2" width="38.81640625" style="19" bestFit="1" customWidth="1"/>
    <col min="3" max="3" width="41.453125" style="15" customWidth="1"/>
    <col min="4" max="4" width="34.7265625" style="15" customWidth="1"/>
    <col min="5" max="5" width="21.81640625" style="15" bestFit="1" customWidth="1"/>
    <col min="6" max="6" width="33" style="15" bestFit="1" customWidth="1"/>
    <col min="7" max="7" width="23.54296875" style="15" customWidth="1"/>
    <col min="8" max="8" width="23.26953125" style="15" customWidth="1"/>
    <col min="9" max="9" width="22" style="10" customWidth="1"/>
    <col min="10" max="10" width="24.7265625" style="10" bestFit="1" customWidth="1"/>
    <col min="11" max="11" width="19.1796875" style="10" customWidth="1"/>
    <col min="12" max="12" width="16.1796875" bestFit="1" customWidth="1"/>
    <col min="13" max="13" width="15.81640625" customWidth="1"/>
    <col min="14" max="14" width="23.453125" customWidth="1"/>
    <col min="15" max="15" width="14" bestFit="1" customWidth="1"/>
  </cols>
  <sheetData>
    <row r="1" spans="1:61" ht="18.5" x14ac:dyDescent="0.45">
      <c r="A1" s="154" t="s">
        <v>637</v>
      </c>
    </row>
    <row r="2" spans="1:61" x14ac:dyDescent="0.35">
      <c r="B2" s="142" t="s">
        <v>263</v>
      </c>
      <c r="C2" s="142" t="s">
        <v>264</v>
      </c>
      <c r="D2" s="142" t="s">
        <v>265</v>
      </c>
      <c r="E2" s="142" t="s">
        <v>269</v>
      </c>
      <c r="F2" s="142" t="s">
        <v>55</v>
      </c>
      <c r="G2" s="142" t="s">
        <v>266</v>
      </c>
      <c r="H2" s="142" t="s">
        <v>65</v>
      </c>
    </row>
    <row r="3" spans="1:61" x14ac:dyDescent="0.35">
      <c r="A3" s="167" t="s">
        <v>444</v>
      </c>
      <c r="B3" s="25">
        <f>Overview!C18</f>
        <v>14095.4</v>
      </c>
      <c r="C3" s="25">
        <f>Overview!B18</f>
        <v>3491.7</v>
      </c>
      <c r="D3" s="25">
        <f>Overview!H18</f>
        <v>39584.300000000003</v>
      </c>
      <c r="E3" s="25">
        <f>Overview!D18</f>
        <v>826.02590099999998</v>
      </c>
      <c r="F3" s="25">
        <f>Overview!E18</f>
        <v>3941</v>
      </c>
      <c r="G3" s="25">
        <f>Overview!G18</f>
        <v>578.20000000000005</v>
      </c>
      <c r="H3" s="25">
        <f>Overview!H18</f>
        <v>39584.300000000003</v>
      </c>
    </row>
    <row r="4" spans="1:61" x14ac:dyDescent="0.35">
      <c r="A4" s="167" t="s">
        <v>443</v>
      </c>
      <c r="B4" s="25">
        <f>Overview!C19</f>
        <v>12095.4</v>
      </c>
      <c r="C4" s="25">
        <f>Overview!B19</f>
        <v>2507.6</v>
      </c>
      <c r="D4" s="25">
        <f>Overview!H19</f>
        <v>0</v>
      </c>
      <c r="E4" s="25">
        <f>Overview!D19</f>
        <v>813.52590099999998</v>
      </c>
      <c r="F4" s="25">
        <f>Overview!E19</f>
        <v>3751</v>
      </c>
      <c r="G4" s="25">
        <f>Overview!G19</f>
        <v>435.2</v>
      </c>
      <c r="H4" s="25">
        <f>Overview!H19</f>
        <v>0</v>
      </c>
    </row>
    <row r="5" spans="1:61" x14ac:dyDescent="0.35">
      <c r="A5" s="167" t="s">
        <v>445</v>
      </c>
      <c r="B5" s="47">
        <f>B4/B3</f>
        <v>0.85810973792868595</v>
      </c>
      <c r="C5" s="47">
        <f t="shared" ref="C5:H5" si="0">C4/C3</f>
        <v>0.71816020849442963</v>
      </c>
      <c r="D5" s="47">
        <f t="shared" si="0"/>
        <v>0</v>
      </c>
      <c r="E5" s="47">
        <f t="shared" si="0"/>
        <v>0.98486730260532107</v>
      </c>
      <c r="F5" s="47">
        <f t="shared" si="0"/>
        <v>0.9517888860695255</v>
      </c>
      <c r="G5" s="47">
        <f t="shared" si="0"/>
        <v>0.75268073331027319</v>
      </c>
      <c r="H5" s="47">
        <f t="shared" si="0"/>
        <v>0</v>
      </c>
      <c r="I5" s="155"/>
      <c r="J5" s="155"/>
    </row>
    <row r="6" spans="1:61" x14ac:dyDescent="0.35">
      <c r="A6" s="185" t="s">
        <v>591</v>
      </c>
    </row>
    <row r="8" spans="1:61" s="15" customFormat="1" ht="18.5" x14ac:dyDescent="0.45">
      <c r="A8" s="154" t="s">
        <v>513</v>
      </c>
      <c r="B8" s="142" t="str">
        <f>Overview!B1</f>
        <v>Fiji</v>
      </c>
      <c r="C8" s="142" t="str">
        <f>Overview!C1</f>
        <v>PNG</v>
      </c>
      <c r="D8" s="142" t="str">
        <f>Overview!D1</f>
        <v>Samoa</v>
      </c>
      <c r="E8" s="142" t="str">
        <f>Overview!E1</f>
        <v>Solomon Islands</v>
      </c>
      <c r="F8" s="142" t="str">
        <f>Overview!F1</f>
        <v>Timor-Leste</v>
      </c>
      <c r="G8" s="142" t="str">
        <f>Overview!G1</f>
        <v>Tonga</v>
      </c>
      <c r="H8" s="142" t="str">
        <f>Overview!H1</f>
        <v>Vanuatu</v>
      </c>
      <c r="I8"/>
      <c r="J8"/>
      <c r="K8" s="10"/>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s="15" customFormat="1" x14ac:dyDescent="0.35">
      <c r="A9" s="106"/>
      <c r="B9" s="174">
        <f>Overview!B20</f>
        <v>0.28295810690359124</v>
      </c>
      <c r="C9" s="174">
        <f>Overview!C20</f>
        <v>0.15193758404047619</v>
      </c>
      <c r="D9" s="174">
        <f>Overview!D20</f>
        <v>1.9338570874290414E-2</v>
      </c>
      <c r="E9" s="174">
        <f>Overview!E20</f>
        <v>5.3221288515406161E-2</v>
      </c>
      <c r="F9" s="174">
        <f>Overview!F20</f>
        <v>0</v>
      </c>
      <c r="G9" s="174">
        <f>Overview!G20</f>
        <v>0.18645731108930325</v>
      </c>
      <c r="H9" s="174">
        <f>Overview!H20</f>
        <v>0</v>
      </c>
      <c r="I9"/>
      <c r="J9"/>
      <c r="K9" s="10"/>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s="15" customFormat="1" x14ac:dyDescent="0.35">
      <c r="A10" s="106"/>
      <c r="B10" s="19"/>
      <c r="H10" s="10"/>
      <c r="I10" s="10"/>
      <c r="J10" s="10"/>
      <c r="K10" s="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row>
    <row r="11" spans="1:61" s="15" customFormat="1" x14ac:dyDescent="0.35">
      <c r="A11" s="106"/>
      <c r="B11" s="19"/>
      <c r="I11" s="10"/>
      <c r="J11" s="10"/>
      <c r="K11" s="10"/>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row>
    <row r="12" spans="1:61" s="15" customFormat="1" x14ac:dyDescent="0.35">
      <c r="A12" s="106"/>
      <c r="B12" s="19"/>
      <c r="I12" s="10"/>
      <c r="J12" s="10"/>
      <c r="K12" s="10"/>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row>
    <row r="13" spans="1:61" s="15" customFormat="1" ht="50.5" customHeight="1" x14ac:dyDescent="0.35">
      <c r="A13" s="106"/>
      <c r="B13" s="19"/>
      <c r="I13" s="10"/>
      <c r="J13" s="10"/>
      <c r="K13" s="10"/>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row>
    <row r="14" spans="1:61" s="15" customFormat="1" ht="37.5" customHeight="1" x14ac:dyDescent="0.35">
      <c r="A14" s="106"/>
      <c r="B14" s="19"/>
      <c r="I14" s="10"/>
      <c r="J14" s="10"/>
      <c r="K14" s="10"/>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row>
    <row r="30" spans="1:61" x14ac:dyDescent="0.35">
      <c r="K30"/>
    </row>
    <row r="31" spans="1:61" x14ac:dyDescent="0.35">
      <c r="K31"/>
    </row>
    <row r="32" spans="1:61" s="19" customFormat="1" x14ac:dyDescent="0.35">
      <c r="A32" s="106"/>
      <c r="C32" s="15"/>
      <c r="D32" s="15"/>
      <c r="E32" s="15"/>
      <c r="F32" s="15"/>
      <c r="G32" s="15"/>
      <c r="H32" s="15"/>
      <c r="I32" s="10"/>
      <c r="J32" s="10"/>
      <c r="K32" s="10"/>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row>
    <row r="51" spans="1:12" x14ac:dyDescent="0.35">
      <c r="K51" s="155"/>
      <c r="L51" s="32"/>
    </row>
    <row r="54" spans="1:12" x14ac:dyDescent="0.35">
      <c r="K54"/>
    </row>
    <row r="55" spans="1:12" x14ac:dyDescent="0.35">
      <c r="K55"/>
    </row>
    <row r="56" spans="1:12" x14ac:dyDescent="0.35">
      <c r="K56"/>
    </row>
    <row r="57" spans="1:12" x14ac:dyDescent="0.35">
      <c r="A57" s="15"/>
      <c r="B57" s="15"/>
    </row>
    <row r="58" spans="1:12" ht="15.5" x14ac:dyDescent="0.35">
      <c r="A58" s="15"/>
      <c r="B58" s="15"/>
      <c r="F58" s="165"/>
    </row>
    <row r="59" spans="1:12" ht="15.5" x14ac:dyDescent="0.35">
      <c r="A59" s="15"/>
      <c r="B59" s="15"/>
      <c r="F59" s="165"/>
    </row>
    <row r="60" spans="1:12" ht="15.5" x14ac:dyDescent="0.35">
      <c r="A60" s="15"/>
      <c r="B60" s="15"/>
      <c r="F60" s="165"/>
    </row>
    <row r="61" spans="1:12" ht="15.5" x14ac:dyDescent="0.35">
      <c r="A61" s="15"/>
      <c r="B61" s="15"/>
      <c r="F61" s="165"/>
    </row>
    <row r="62" spans="1:12" ht="15.5" x14ac:dyDescent="0.35">
      <c r="A62" s="15"/>
      <c r="B62" s="15"/>
      <c r="F62" s="165"/>
    </row>
    <row r="63" spans="1:12" ht="15.5" x14ac:dyDescent="0.35">
      <c r="A63" s="15"/>
      <c r="B63" s="15"/>
      <c r="F63" s="165"/>
    </row>
    <row r="64" spans="1:12" ht="15.5" x14ac:dyDescent="0.35">
      <c r="A64" s="15"/>
      <c r="B64" s="15"/>
      <c r="F64" s="165"/>
    </row>
    <row r="65" spans="1:6" ht="15.5" x14ac:dyDescent="0.35">
      <c r="A65" s="15"/>
      <c r="B65" s="15"/>
      <c r="F65" s="165"/>
    </row>
    <row r="66" spans="1:6" ht="15.5" x14ac:dyDescent="0.35">
      <c r="A66" s="15"/>
      <c r="B66" s="15"/>
      <c r="F66" s="165"/>
    </row>
    <row r="67" spans="1:6" ht="15.5" x14ac:dyDescent="0.35">
      <c r="A67" s="15"/>
      <c r="B67" s="15"/>
      <c r="F67" s="165"/>
    </row>
    <row r="68" spans="1:6" ht="15.5" x14ac:dyDescent="0.35">
      <c r="A68" s="15"/>
      <c r="B68" s="15"/>
      <c r="F68" s="165"/>
    </row>
    <row r="69" spans="1:6" ht="15.5" x14ac:dyDescent="0.35">
      <c r="A69" s="15"/>
      <c r="B69" s="15"/>
      <c r="F69" s="165"/>
    </row>
    <row r="103" spans="1:61" s="15" customFormat="1" x14ac:dyDescent="0.35">
      <c r="A103" s="106"/>
      <c r="B103" s="19"/>
      <c r="I103" s="10"/>
      <c r="J103" s="10"/>
      <c r="K103" s="10"/>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row>
    <row r="104" spans="1:61" s="15" customFormat="1" x14ac:dyDescent="0.35">
      <c r="A104" s="106"/>
      <c r="B104" s="19"/>
      <c r="I104" s="10"/>
      <c r="J104" s="10"/>
      <c r="K104" s="10"/>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row>
    <row r="105" spans="1:61" s="15" customFormat="1" x14ac:dyDescent="0.35">
      <c r="A105" s="106"/>
      <c r="B105" s="19"/>
      <c r="I105" s="10"/>
      <c r="J105" s="10"/>
      <c r="K105" s="10"/>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row>
    <row r="106" spans="1:61" s="15" customFormat="1" x14ac:dyDescent="0.35">
      <c r="A106" s="106"/>
      <c r="B106" s="19"/>
      <c r="I106" s="10"/>
      <c r="J106" s="10"/>
      <c r="K106" s="10"/>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row>
    <row r="107" spans="1:61" s="15" customFormat="1" x14ac:dyDescent="0.35">
      <c r="A107" s="106"/>
      <c r="B107" s="19"/>
      <c r="I107" s="10"/>
      <c r="J107" s="10"/>
      <c r="K107" s="10"/>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row>
    <row r="108" spans="1:61" s="15" customFormat="1" x14ac:dyDescent="0.35">
      <c r="A108" s="106"/>
      <c r="B108" s="19"/>
      <c r="I108" s="10"/>
      <c r="J108" s="10"/>
      <c r="K108" s="10"/>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row>
    <row r="109" spans="1:61" s="15" customFormat="1" x14ac:dyDescent="0.35">
      <c r="A109" s="106"/>
      <c r="B109" s="19"/>
      <c r="I109" s="10"/>
      <c r="J109" s="10"/>
      <c r="K109" s="10"/>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s="15" customFormat="1" x14ac:dyDescent="0.35">
      <c r="A110" s="106"/>
      <c r="B110" s="19"/>
      <c r="I110" s="10"/>
      <c r="J110" s="10"/>
      <c r="K110" s="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row>
    <row r="111" spans="1:61" s="15" customFormat="1" x14ac:dyDescent="0.35">
      <c r="A111" s="106"/>
      <c r="B111" s="19"/>
      <c r="I111" s="10"/>
      <c r="J111" s="10"/>
      <c r="K111" s="10"/>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row>
    <row r="112" spans="1:61" s="15" customFormat="1" x14ac:dyDescent="0.35">
      <c r="A112" s="106"/>
      <c r="B112" s="19"/>
      <c r="I112" s="10"/>
      <c r="J112" s="10"/>
      <c r="K112" s="10"/>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row>
    <row r="113" spans="1:61" s="15" customFormat="1" x14ac:dyDescent="0.35">
      <c r="A113" s="106"/>
      <c r="B113" s="19"/>
      <c r="I113" s="10"/>
      <c r="J113" s="10"/>
      <c r="K113" s="10"/>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s="15" customFormat="1" x14ac:dyDescent="0.35">
      <c r="A114" s="106"/>
      <c r="B114" s="19"/>
      <c r="I114" s="10"/>
      <c r="J114" s="10"/>
      <c r="K114" s="10"/>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row>
    <row r="115" spans="1:61" s="15" customFormat="1" ht="62.15" customHeight="1" x14ac:dyDescent="0.35">
      <c r="A115" s="106"/>
      <c r="B115" s="19"/>
      <c r="I115" s="10"/>
      <c r="J115" s="10"/>
      <c r="K115" s="10"/>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L28"/>
  <sheetViews>
    <sheetView zoomScale="82" zoomScaleNormal="82" workbookViewId="0">
      <selection activeCell="B37" sqref="B37"/>
    </sheetView>
  </sheetViews>
  <sheetFormatPr defaultRowHeight="14.5" x14ac:dyDescent="0.35"/>
  <cols>
    <col min="1" max="1" width="5" style="236" customWidth="1"/>
    <col min="2" max="2" width="38.81640625" customWidth="1"/>
  </cols>
  <sheetData>
    <row r="1" spans="1:12" ht="15.5" x14ac:dyDescent="0.35">
      <c r="A1" s="116"/>
      <c r="B1" s="386" t="s">
        <v>634</v>
      </c>
      <c r="C1" s="386"/>
      <c r="D1" s="386"/>
      <c r="E1" s="386"/>
      <c r="F1" s="386"/>
      <c r="G1" s="386"/>
      <c r="H1" s="116"/>
      <c r="I1" s="116"/>
      <c r="J1" s="116"/>
      <c r="K1" s="116"/>
      <c r="L1" s="116"/>
    </row>
    <row r="2" spans="1:12" ht="15.5" x14ac:dyDescent="0.35">
      <c r="A2" s="116"/>
      <c r="B2" s="347"/>
      <c r="C2" s="347"/>
      <c r="D2" s="347"/>
      <c r="E2" s="347"/>
      <c r="F2" s="347"/>
      <c r="G2" s="347"/>
      <c r="H2" s="116"/>
      <c r="I2" s="116"/>
      <c r="J2" s="116"/>
      <c r="K2" s="116"/>
      <c r="L2" s="116"/>
    </row>
    <row r="3" spans="1:12" x14ac:dyDescent="0.35">
      <c r="A3" s="116"/>
      <c r="B3" s="348"/>
      <c r="C3" s="349" t="s">
        <v>264</v>
      </c>
      <c r="D3" s="349" t="s">
        <v>263</v>
      </c>
      <c r="E3" s="349" t="s">
        <v>269</v>
      </c>
      <c r="F3" s="349" t="s">
        <v>627</v>
      </c>
      <c r="G3" s="349" t="s">
        <v>512</v>
      </c>
      <c r="H3" s="349" t="s">
        <v>266</v>
      </c>
      <c r="I3" s="349" t="s">
        <v>265</v>
      </c>
      <c r="J3" s="349" t="s">
        <v>498</v>
      </c>
      <c r="K3" s="116"/>
      <c r="L3" s="116"/>
    </row>
    <row r="4" spans="1:12" x14ac:dyDescent="0.35">
      <c r="A4" s="116"/>
      <c r="B4" s="350" t="s">
        <v>628</v>
      </c>
      <c r="C4" s="348">
        <f>Overview!B38/Overview!B$37</f>
        <v>0.40001400000000004</v>
      </c>
      <c r="D4" s="348">
        <f>Overview!C38/Overview!C$37</f>
        <v>0.21166666666666667</v>
      </c>
      <c r="E4" s="348">
        <f>Overview!D38/Overview!D$37</f>
        <v>0.5287760416666667</v>
      </c>
      <c r="F4" s="348">
        <f>Overview!E38/Overview!E$37</f>
        <v>2.2286605749944285E-2</v>
      </c>
      <c r="G4" s="348">
        <f>Overview!F38/Overview!F$37</f>
        <v>0</v>
      </c>
      <c r="H4" s="348">
        <f>Overview!G38/Overview!G$37</f>
        <v>0.32158333333333333</v>
      </c>
      <c r="I4" s="348">
        <f>Overview!H38/Overview!H$37</f>
        <v>0</v>
      </c>
      <c r="J4" s="348">
        <f>AVERAGE(C4:I4)</f>
        <v>0.21204666391665872</v>
      </c>
      <c r="K4" s="116"/>
      <c r="L4" s="116"/>
    </row>
    <row r="5" spans="1:12" x14ac:dyDescent="0.35">
      <c r="A5" s="116"/>
      <c r="B5" s="350" t="s">
        <v>629</v>
      </c>
      <c r="C5" s="348">
        <f>Overview!B40/Overview!B$37</f>
        <v>0.20597100000000002</v>
      </c>
      <c r="D5" s="348">
        <f>Overview!C40/Overview!C$37</f>
        <v>0</v>
      </c>
      <c r="E5" s="348">
        <f>Overview!D40/Overview!D$37</f>
        <v>7.7781249999999996E-2</v>
      </c>
      <c r="F5" s="348">
        <f>Overview!E40/Overview!E$37</f>
        <v>1.1143302874972142E-2</v>
      </c>
      <c r="G5" s="348">
        <f>Overview!F40/Overview!F$37</f>
        <v>0.42799999999999999</v>
      </c>
      <c r="H5" s="348">
        <f>Overview!G40/Overview!G$37</f>
        <v>8.323333333333334E-2</v>
      </c>
      <c r="I5" s="348">
        <f>Overview!H40/Overview!H$37</f>
        <v>0.71657335714285719</v>
      </c>
      <c r="J5" s="348">
        <f t="shared" ref="J5:J10" si="0">AVERAGE(C5:I5)</f>
        <v>0.21752889190730892</v>
      </c>
      <c r="K5" s="116"/>
      <c r="L5" s="116"/>
    </row>
    <row r="6" spans="1:12" x14ac:dyDescent="0.35">
      <c r="A6" s="116"/>
      <c r="B6" s="350" t="s">
        <v>630</v>
      </c>
      <c r="C6" s="348">
        <f>Overview!B41/Overview!B$37</f>
        <v>0.05</v>
      </c>
      <c r="D6" s="348">
        <f>Overview!C41/Overview!C$37</f>
        <v>0.26163800000000004</v>
      </c>
      <c r="E6" s="348">
        <f>Overview!D41/Overview!D$37</f>
        <v>7.8125E-2</v>
      </c>
      <c r="F6" s="348">
        <f>Overview!E41/Overview!E$37</f>
        <v>0.15154891909962115</v>
      </c>
      <c r="G6" s="348">
        <v>0</v>
      </c>
      <c r="H6" s="348">
        <f>Overview!G41/Overview!G$37</f>
        <v>0.28999999999999998</v>
      </c>
      <c r="I6" s="351">
        <f>Overview!H41/Overview!H$37</f>
        <v>9.5238095238095247E-2</v>
      </c>
      <c r="J6" s="348">
        <f t="shared" si="0"/>
        <v>0.13236428776253092</v>
      </c>
      <c r="K6" s="116"/>
      <c r="L6" s="116"/>
    </row>
    <row r="7" spans="1:12" x14ac:dyDescent="0.35">
      <c r="A7" s="116"/>
      <c r="B7" s="350" t="s">
        <v>631</v>
      </c>
      <c r="C7" s="348">
        <f>Overview!B39/Overview!B$37</f>
        <v>1.0010999999999999E-2</v>
      </c>
      <c r="D7" s="348">
        <f>Overview!C39/Overview!C$37</f>
        <v>0.27166666666666667</v>
      </c>
      <c r="E7" s="348">
        <f>Overview!D39/Overview!D$37</f>
        <v>9.1427083333333339E-2</v>
      </c>
      <c r="F7" s="348">
        <f>Overview!E39/Overview!E$37</f>
        <v>0.15600624024960999</v>
      </c>
      <c r="G7" s="348">
        <f>Overview!F39/Overview!F$37</f>
        <v>1.6266666666666665E-2</v>
      </c>
      <c r="H7" s="348">
        <f>Overview!G39/Overview!G$37</f>
        <v>5.3344999999999997E-2</v>
      </c>
      <c r="I7" s="348">
        <f>Overview!H39/Overview!H$37</f>
        <v>0</v>
      </c>
      <c r="J7" s="348">
        <f t="shared" si="0"/>
        <v>8.5531808130896655E-2</v>
      </c>
      <c r="K7" s="116"/>
      <c r="L7" s="116"/>
    </row>
    <row r="8" spans="1:12" x14ac:dyDescent="0.35">
      <c r="A8" s="116"/>
      <c r="B8" s="350" t="s">
        <v>632</v>
      </c>
      <c r="C8" s="348">
        <f>Overview!B42/Overview!B$37</f>
        <v>0</v>
      </c>
      <c r="D8" s="348">
        <f>Overview!C42/Overview!C$37</f>
        <v>0</v>
      </c>
      <c r="E8" s="348">
        <f>Overview!D42/Overview!D$37</f>
        <v>0</v>
      </c>
      <c r="F8" s="348">
        <f>Overview!E42/Overview!E$37</f>
        <v>0.20057945174949857</v>
      </c>
      <c r="G8" s="348">
        <f>Overview!F42/Overview!F$37</f>
        <v>0</v>
      </c>
      <c r="H8" s="348">
        <f>Overview!G42/Overview!G$37</f>
        <v>6.6666666666666666E-2</v>
      </c>
      <c r="I8" s="348">
        <f>Overview!H42/Overview!H$37</f>
        <v>0</v>
      </c>
      <c r="J8" s="348">
        <f t="shared" si="0"/>
        <v>3.8178016916595038E-2</v>
      </c>
      <c r="K8" s="116"/>
      <c r="L8" s="116"/>
    </row>
    <row r="9" spans="1:12" x14ac:dyDescent="0.35">
      <c r="A9" s="116"/>
      <c r="B9" s="352" t="s">
        <v>633</v>
      </c>
      <c r="C9" s="353">
        <f t="shared" ref="C9:I9" si="1">100%-SUM(C4:C8)</f>
        <v>0.33400399999999997</v>
      </c>
      <c r="D9" s="353">
        <f t="shared" si="1"/>
        <v>0.25502866666666657</v>
      </c>
      <c r="E9" s="353">
        <f t="shared" si="1"/>
        <v>0.2238906249999999</v>
      </c>
      <c r="F9" s="353">
        <f t="shared" si="1"/>
        <v>0.45843548027635384</v>
      </c>
      <c r="G9" s="353">
        <f t="shared" si="1"/>
        <v>0.55573333333333341</v>
      </c>
      <c r="H9" s="353">
        <f t="shared" si="1"/>
        <v>0.18517166666666673</v>
      </c>
      <c r="I9" s="353">
        <f t="shared" si="1"/>
        <v>0.18818854761904757</v>
      </c>
      <c r="J9" s="353">
        <f t="shared" si="0"/>
        <v>0.31435033136600976</v>
      </c>
      <c r="K9" s="116"/>
      <c r="L9" s="116"/>
    </row>
    <row r="10" spans="1:12" x14ac:dyDescent="0.35">
      <c r="A10" s="116"/>
      <c r="B10" s="354" t="s">
        <v>678</v>
      </c>
      <c r="C10" s="355">
        <f>SUM(C4:C9)</f>
        <v>1</v>
      </c>
      <c r="D10" s="355">
        <f t="shared" ref="D10:I10" si="2">SUM(D4:D9)</f>
        <v>1</v>
      </c>
      <c r="E10" s="355">
        <f t="shared" si="2"/>
        <v>1</v>
      </c>
      <c r="F10" s="355">
        <f t="shared" si="2"/>
        <v>1</v>
      </c>
      <c r="G10" s="355">
        <f t="shared" si="2"/>
        <v>1</v>
      </c>
      <c r="H10" s="355">
        <f t="shared" si="2"/>
        <v>1</v>
      </c>
      <c r="I10" s="355">
        <f t="shared" si="2"/>
        <v>1</v>
      </c>
      <c r="J10" s="356">
        <f t="shared" si="0"/>
        <v>1</v>
      </c>
      <c r="K10" s="116"/>
      <c r="L10" s="116"/>
    </row>
    <row r="11" spans="1:12" ht="26.5" x14ac:dyDescent="0.35">
      <c r="A11" s="116"/>
      <c r="B11" s="357" t="s">
        <v>677</v>
      </c>
      <c r="C11" s="116"/>
      <c r="D11" s="116"/>
      <c r="E11" s="116"/>
      <c r="F11" s="116"/>
      <c r="G11" s="116"/>
      <c r="H11" s="116"/>
      <c r="I11" s="116"/>
      <c r="J11" s="116"/>
      <c r="K11" s="116"/>
      <c r="L11" s="116"/>
    </row>
    <row r="12" spans="1:12" x14ac:dyDescent="0.35">
      <c r="A12" s="116"/>
      <c r="B12" s="116"/>
      <c r="C12" s="116"/>
      <c r="D12" s="116"/>
      <c r="E12" s="116"/>
      <c r="F12" s="116"/>
      <c r="G12" s="116"/>
      <c r="H12" s="116"/>
      <c r="I12" s="116"/>
      <c r="J12" s="116"/>
      <c r="K12" s="116"/>
      <c r="L12" s="116"/>
    </row>
    <row r="13" spans="1:12" x14ac:dyDescent="0.35">
      <c r="A13" s="116"/>
      <c r="B13" s="358" t="s">
        <v>675</v>
      </c>
      <c r="C13" s="327">
        <f>Overview!B43</f>
        <v>7.701668181328075E-3</v>
      </c>
      <c r="D13" s="327">
        <f>Overview!C43</f>
        <v>6.4780824875836753E-3</v>
      </c>
      <c r="E13" s="327">
        <f>Overview!D43</f>
        <v>1.5907207953603977E-2</v>
      </c>
      <c r="F13" s="327">
        <f>Overview!E43</f>
        <v>3.5834307655939535E-2</v>
      </c>
      <c r="G13" s="327">
        <f>Overview!F43</f>
        <v>8.2735797021511306E-2</v>
      </c>
      <c r="H13" s="327">
        <f>Overview!G43</f>
        <v>5.9678749292558154E-2</v>
      </c>
      <c r="I13" s="359">
        <f>Overview!H43</f>
        <v>3.6694682765730659E-2</v>
      </c>
      <c r="J13" s="360">
        <f t="shared" ref="J13" si="3">AVERAGE(C13:I13)</f>
        <v>3.5004356479750767E-2</v>
      </c>
      <c r="K13" s="116"/>
      <c r="L13" s="116"/>
    </row>
    <row r="14" spans="1:12" x14ac:dyDescent="0.35">
      <c r="A14" s="116"/>
      <c r="B14" s="116"/>
      <c r="C14" s="116"/>
      <c r="D14" s="116"/>
      <c r="E14" s="116"/>
      <c r="F14" s="116"/>
      <c r="G14" s="116"/>
      <c r="H14" s="116"/>
      <c r="I14" s="116"/>
      <c r="J14" s="116"/>
      <c r="K14" s="116"/>
      <c r="L14" s="116"/>
    </row>
    <row r="15" spans="1:12" x14ac:dyDescent="0.35">
      <c r="A15" s="116"/>
      <c r="B15" s="358" t="s">
        <v>676</v>
      </c>
      <c r="C15" s="116"/>
      <c r="D15" s="116"/>
      <c r="E15" s="116"/>
      <c r="F15" s="116"/>
      <c r="G15" s="116"/>
      <c r="H15" s="116"/>
      <c r="I15" s="116"/>
      <c r="J15" s="116"/>
      <c r="K15" s="116"/>
      <c r="L15" s="116"/>
    </row>
    <row r="16" spans="1:12" x14ac:dyDescent="0.35">
      <c r="A16" s="116"/>
      <c r="B16" s="116"/>
      <c r="C16" s="361" t="str">
        <f t="shared" ref="C16:I16" si="4">C3</f>
        <v>Fiji</v>
      </c>
      <c r="D16" s="361" t="str">
        <f t="shared" si="4"/>
        <v>PNG</v>
      </c>
      <c r="E16" s="361" t="str">
        <f t="shared" si="4"/>
        <v>Samoa</v>
      </c>
      <c r="F16" s="361" t="str">
        <f t="shared" si="4"/>
        <v>SI</v>
      </c>
      <c r="G16" s="361" t="str">
        <f t="shared" si="4"/>
        <v>TL</v>
      </c>
      <c r="H16" s="361" t="str">
        <f t="shared" si="4"/>
        <v>Tonga</v>
      </c>
      <c r="I16" s="361" t="str">
        <f t="shared" si="4"/>
        <v>Vanuatu</v>
      </c>
      <c r="J16" s="349" t="s">
        <v>498</v>
      </c>
      <c r="K16" s="116"/>
      <c r="L16" s="116"/>
    </row>
    <row r="17" spans="1:12" x14ac:dyDescent="0.35">
      <c r="A17" s="116"/>
      <c r="B17" s="362" t="str">
        <f t="shared" ref="B17:B22" si="5">B4</f>
        <v>Health</v>
      </c>
      <c r="C17" s="327">
        <f t="shared" ref="C17:I22" si="6">C4*C$13</f>
        <v>3.0807750958857689E-3</v>
      </c>
      <c r="D17" s="327">
        <f t="shared" si="6"/>
        <v>1.3711941265385447E-3</v>
      </c>
      <c r="E17" s="327">
        <f t="shared" si="6"/>
        <v>8.4113504556752282E-3</v>
      </c>
      <c r="F17" s="327">
        <f t="shared" si="6"/>
        <v>7.9862508705013453E-4</v>
      </c>
      <c r="G17" s="327">
        <f t="shared" si="6"/>
        <v>0</v>
      </c>
      <c r="H17" s="327">
        <f t="shared" si="6"/>
        <v>1.9191691126665161E-2</v>
      </c>
      <c r="I17" s="327">
        <f t="shared" si="6"/>
        <v>0</v>
      </c>
      <c r="J17" s="327">
        <f>AVERAGE(C17:I17)</f>
        <v>4.6933765559735484E-3</v>
      </c>
      <c r="K17" s="116"/>
      <c r="L17" s="116"/>
    </row>
    <row r="18" spans="1:12" x14ac:dyDescent="0.35">
      <c r="A18" s="116"/>
      <c r="B18" s="362" t="str">
        <f t="shared" si="5"/>
        <v>Safety net</v>
      </c>
      <c r="C18" s="327">
        <f t="shared" si="6"/>
        <v>1.586320296976325E-3</v>
      </c>
      <c r="D18" s="327">
        <f t="shared" si="6"/>
        <v>0</v>
      </c>
      <c r="E18" s="327">
        <f t="shared" si="6"/>
        <v>1.2372825186412592E-3</v>
      </c>
      <c r="F18" s="327">
        <f t="shared" si="6"/>
        <v>3.9931254352506727E-4</v>
      </c>
      <c r="G18" s="327">
        <f t="shared" si="6"/>
        <v>3.5410921125206836E-2</v>
      </c>
      <c r="H18" s="327">
        <f t="shared" si="6"/>
        <v>4.9672612327839238E-3</v>
      </c>
      <c r="I18" s="327">
        <f t="shared" si="6"/>
        <v>2.6294432018731762E-2</v>
      </c>
      <c r="J18" s="327">
        <f t="shared" ref="J18:J22" si="7">AVERAGE(C18:I18)</f>
        <v>9.985075676552168E-3</v>
      </c>
      <c r="K18" s="116"/>
      <c r="L18" s="116"/>
    </row>
    <row r="19" spans="1:12" x14ac:dyDescent="0.35">
      <c r="A19" s="116"/>
      <c r="B19" s="362" t="str">
        <f t="shared" si="5"/>
        <v>Business support</v>
      </c>
      <c r="C19" s="327">
        <f t="shared" si="6"/>
        <v>3.8508340906640378E-4</v>
      </c>
      <c r="D19" s="327">
        <f t="shared" si="6"/>
        <v>1.6949125458864179E-3</v>
      </c>
      <c r="E19" s="327">
        <f t="shared" si="6"/>
        <v>1.2427506213753107E-3</v>
      </c>
      <c r="F19" s="327">
        <f t="shared" si="6"/>
        <v>5.4306505919409151E-3</v>
      </c>
      <c r="G19" s="327">
        <f t="shared" si="6"/>
        <v>0</v>
      </c>
      <c r="H19" s="327">
        <f t="shared" si="6"/>
        <v>1.7306837294841865E-2</v>
      </c>
      <c r="I19" s="327">
        <f t="shared" si="6"/>
        <v>3.494731691974349E-3</v>
      </c>
      <c r="J19" s="327">
        <f t="shared" si="7"/>
        <v>4.2221380221550376E-3</v>
      </c>
      <c r="K19" s="116"/>
      <c r="L19" s="116"/>
    </row>
    <row r="20" spans="1:12" x14ac:dyDescent="0.35">
      <c r="A20" s="116"/>
      <c r="B20" s="362" t="str">
        <f t="shared" si="5"/>
        <v>Food security</v>
      </c>
      <c r="C20" s="327">
        <f t="shared" si="6"/>
        <v>7.7101400163275352E-5</v>
      </c>
      <c r="D20" s="327">
        <f t="shared" si="6"/>
        <v>1.7598790757935652E-3</v>
      </c>
      <c r="E20" s="327">
        <f t="shared" si="6"/>
        <v>1.4543496271748136E-3</v>
      </c>
      <c r="F20" s="327">
        <f t="shared" si="6"/>
        <v>5.590375609350942E-3</v>
      </c>
      <c r="G20" s="327">
        <f t="shared" si="6"/>
        <v>1.3458356315499171E-3</v>
      </c>
      <c r="H20" s="327">
        <f t="shared" si="6"/>
        <v>3.1835628810115146E-3</v>
      </c>
      <c r="I20" s="327">
        <f t="shared" si="6"/>
        <v>0</v>
      </c>
      <c r="J20" s="327">
        <f t="shared" si="7"/>
        <v>1.9158720321491467E-3</v>
      </c>
      <c r="K20" s="116"/>
      <c r="L20" s="116"/>
    </row>
    <row r="21" spans="1:12" x14ac:dyDescent="0.35">
      <c r="A21" s="116"/>
      <c r="B21" s="362" t="str">
        <f t="shared" si="5"/>
        <v>Infrastructure</v>
      </c>
      <c r="C21" s="327">
        <f t="shared" si="6"/>
        <v>0</v>
      </c>
      <c r="D21" s="327">
        <f t="shared" si="6"/>
        <v>0</v>
      </c>
      <c r="E21" s="327">
        <f t="shared" si="6"/>
        <v>0</v>
      </c>
      <c r="F21" s="327">
        <f t="shared" si="6"/>
        <v>7.1876257834512106E-3</v>
      </c>
      <c r="G21" s="327">
        <f t="shared" si="6"/>
        <v>0</v>
      </c>
      <c r="H21" s="327">
        <f t="shared" si="6"/>
        <v>3.9785832861705438E-3</v>
      </c>
      <c r="I21" s="327">
        <f t="shared" si="6"/>
        <v>0</v>
      </c>
      <c r="J21" s="327">
        <f t="shared" si="7"/>
        <v>1.5951727242316791E-3</v>
      </c>
      <c r="K21" s="116"/>
      <c r="L21" s="116"/>
    </row>
    <row r="22" spans="1:12" x14ac:dyDescent="0.35">
      <c r="A22" s="116"/>
      <c r="B22" s="362" t="str">
        <f t="shared" si="5"/>
        <v>Other</v>
      </c>
      <c r="C22" s="327">
        <f t="shared" si="6"/>
        <v>2.5723879792363021E-3</v>
      </c>
      <c r="D22" s="327">
        <f t="shared" si="6"/>
        <v>1.6520967393651473E-3</v>
      </c>
      <c r="E22" s="327">
        <f t="shared" si="6"/>
        <v>3.5614747307373637E-3</v>
      </c>
      <c r="F22" s="327">
        <f t="shared" si="6"/>
        <v>1.6427718040621264E-2</v>
      </c>
      <c r="G22" s="327">
        <f t="shared" si="6"/>
        <v>4.5979040264754557E-2</v>
      </c>
      <c r="H22" s="327">
        <f t="shared" si="6"/>
        <v>1.1050813471085151E-2</v>
      </c>
      <c r="I22" s="327">
        <f t="shared" si="6"/>
        <v>6.905519055024548E-3</v>
      </c>
      <c r="J22" s="327">
        <f t="shared" si="7"/>
        <v>1.2592721468689191E-2</v>
      </c>
      <c r="K22" s="116"/>
      <c r="L22" s="116"/>
    </row>
    <row r="23" spans="1:12" x14ac:dyDescent="0.35">
      <c r="A23" s="116"/>
      <c r="B23" s="363" t="s">
        <v>678</v>
      </c>
      <c r="C23" s="364">
        <f>SUM(C17:C22)</f>
        <v>7.701668181328075E-3</v>
      </c>
      <c r="D23" s="364">
        <f t="shared" ref="D23:J23" si="8">SUM(D17:D22)</f>
        <v>6.4780824875836761E-3</v>
      </c>
      <c r="E23" s="364">
        <f t="shared" si="8"/>
        <v>1.5907207953603977E-2</v>
      </c>
      <c r="F23" s="364">
        <f t="shared" si="8"/>
        <v>3.5834307655939535E-2</v>
      </c>
      <c r="G23" s="364">
        <f t="shared" si="8"/>
        <v>8.273579702151132E-2</v>
      </c>
      <c r="H23" s="364">
        <f t="shared" si="8"/>
        <v>5.9678749292558161E-2</v>
      </c>
      <c r="I23" s="364">
        <f t="shared" si="8"/>
        <v>3.6694682765730659E-2</v>
      </c>
      <c r="J23" s="364">
        <f t="shared" si="8"/>
        <v>3.5004356479750774E-2</v>
      </c>
      <c r="K23" s="116"/>
      <c r="L23" s="116"/>
    </row>
    <row r="24" spans="1:12" x14ac:dyDescent="0.35">
      <c r="A24" s="116"/>
      <c r="B24" s="116"/>
      <c r="C24" s="116"/>
      <c r="D24" s="116"/>
      <c r="E24" s="116"/>
      <c r="F24" s="116"/>
      <c r="G24" s="116"/>
      <c r="H24" s="116"/>
      <c r="I24" s="116"/>
      <c r="J24" s="116"/>
      <c r="K24" s="116"/>
      <c r="L24" s="116"/>
    </row>
    <row r="25" spans="1:12" x14ac:dyDescent="0.35">
      <c r="A25" s="116"/>
      <c r="B25" s="116"/>
      <c r="C25" s="116"/>
      <c r="D25" s="116"/>
      <c r="E25" s="116"/>
      <c r="F25" s="116"/>
      <c r="G25" s="116"/>
      <c r="H25" s="116"/>
      <c r="I25" s="116"/>
      <c r="J25" s="116"/>
      <c r="K25" s="116"/>
      <c r="L25" s="116"/>
    </row>
    <row r="26" spans="1:12" x14ac:dyDescent="0.35">
      <c r="A26" s="116"/>
      <c r="B26" s="116"/>
      <c r="C26" s="116"/>
      <c r="D26" s="116"/>
      <c r="E26" s="116"/>
      <c r="F26" s="116"/>
      <c r="G26" s="116"/>
      <c r="H26" s="116"/>
      <c r="I26" s="116"/>
      <c r="J26" s="116"/>
      <c r="K26" s="116"/>
      <c r="L26" s="116"/>
    </row>
    <row r="27" spans="1:12" x14ac:dyDescent="0.35">
      <c r="A27" s="116"/>
      <c r="B27" s="116"/>
      <c r="C27" s="116"/>
      <c r="D27" s="116"/>
      <c r="E27" s="116"/>
      <c r="F27" s="116"/>
      <c r="G27" s="116"/>
      <c r="H27" s="116"/>
      <c r="I27" s="116"/>
      <c r="J27" s="116"/>
      <c r="K27" s="116"/>
      <c r="L27" s="116"/>
    </row>
    <row r="28" spans="1:12" x14ac:dyDescent="0.35">
      <c r="A28" s="116"/>
      <c r="B28" s="116"/>
      <c r="C28" s="116"/>
      <c r="D28" s="116"/>
      <c r="E28" s="116"/>
      <c r="F28" s="116"/>
      <c r="G28" s="116"/>
      <c r="H28" s="116"/>
      <c r="I28" s="116"/>
      <c r="J28" s="116"/>
      <c r="K28" s="116"/>
      <c r="L28" s="116"/>
    </row>
  </sheetData>
  <sortState xmlns:xlrd2="http://schemas.microsoft.com/office/spreadsheetml/2017/richdata2" columnSort="1" ref="C3:I9">
    <sortCondition ref="C3:I3"/>
  </sortState>
  <mergeCells count="1">
    <mergeCell ref="B1:G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L65"/>
  <sheetViews>
    <sheetView zoomScale="80" zoomScaleNormal="80" workbookViewId="0">
      <selection activeCell="G46" sqref="G46"/>
    </sheetView>
  </sheetViews>
  <sheetFormatPr defaultRowHeight="14.5" x14ac:dyDescent="0.35"/>
  <cols>
    <col min="1" max="1" width="35.453125" customWidth="1"/>
  </cols>
  <sheetData>
    <row r="1" spans="1:12" ht="37" x14ac:dyDescent="0.35">
      <c r="A1" s="201" t="s">
        <v>501</v>
      </c>
      <c r="B1" s="19"/>
      <c r="C1" s="15"/>
      <c r="D1" s="15"/>
      <c r="E1" s="15"/>
      <c r="F1" s="15"/>
      <c r="G1" s="15"/>
      <c r="H1" s="15"/>
      <c r="I1" s="15"/>
      <c r="J1" s="15"/>
      <c r="K1" s="15"/>
      <c r="L1" s="8"/>
    </row>
    <row r="2" spans="1:12" x14ac:dyDescent="0.35">
      <c r="A2" s="202"/>
      <c r="B2" s="142">
        <v>2015</v>
      </c>
      <c r="C2" s="143">
        <v>2016</v>
      </c>
      <c r="D2" s="142">
        <v>2017</v>
      </c>
      <c r="E2" s="143">
        <v>2018</v>
      </c>
      <c r="F2" s="142">
        <v>2019</v>
      </c>
      <c r="G2" s="143" t="s">
        <v>498</v>
      </c>
      <c r="H2" s="143" t="s">
        <v>510</v>
      </c>
      <c r="I2" s="15"/>
      <c r="J2" s="15"/>
      <c r="K2" s="15"/>
      <c r="L2" s="8"/>
    </row>
    <row r="3" spans="1:12" x14ac:dyDescent="0.35">
      <c r="A3" s="203" t="s">
        <v>499</v>
      </c>
      <c r="B3" s="204">
        <v>-1.5544636719576279</v>
      </c>
      <c r="C3" s="204">
        <v>3.6910390968057691</v>
      </c>
      <c r="D3" s="204">
        <v>12.483434746764157</v>
      </c>
      <c r="E3" s="204">
        <v>1.3954635432868512</v>
      </c>
      <c r="F3" s="204">
        <v>3.4396868984351521</v>
      </c>
      <c r="G3" s="172">
        <f t="shared" ref="G3:G16" si="0">AVERAGE(B3:F3)</f>
        <v>3.8910321226668598</v>
      </c>
      <c r="H3" s="123">
        <f t="shared" ref="H3:H16" si="1">G3/100</f>
        <v>3.8910321226668598E-2</v>
      </c>
      <c r="I3" s="15"/>
      <c r="J3" s="15"/>
      <c r="K3" s="15"/>
      <c r="L3" s="8"/>
    </row>
    <row r="4" spans="1:12" x14ac:dyDescent="0.35">
      <c r="A4" s="203" t="s">
        <v>511</v>
      </c>
      <c r="B4" s="204">
        <v>10.34495574320975</v>
      </c>
      <c r="C4" s="204">
        <v>7.2557128224894463</v>
      </c>
      <c r="D4" s="204">
        <v>14.240713306647052</v>
      </c>
      <c r="E4" s="204">
        <v>24.225005284831241</v>
      </c>
      <c r="F4" s="204">
        <v>22.302931380221004</v>
      </c>
      <c r="G4" s="172">
        <f t="shared" si="0"/>
        <v>15.6738637074797</v>
      </c>
      <c r="H4" s="123">
        <f t="shared" si="1"/>
        <v>0.15673863707479702</v>
      </c>
      <c r="I4" s="15"/>
      <c r="J4" s="15"/>
      <c r="K4" s="15"/>
      <c r="L4" s="8"/>
    </row>
    <row r="5" spans="1:12" x14ac:dyDescent="0.35">
      <c r="A5" s="203" t="s">
        <v>264</v>
      </c>
      <c r="B5" s="204">
        <v>-1.8487102490491478</v>
      </c>
      <c r="C5" s="204">
        <v>-3.7605158804785455</v>
      </c>
      <c r="D5" s="204">
        <v>-2.0138624395089124</v>
      </c>
      <c r="E5" s="204">
        <v>-4.3063199089566639</v>
      </c>
      <c r="F5" s="204">
        <v>-3.4483440584698406</v>
      </c>
      <c r="G5" s="172">
        <f t="shared" si="0"/>
        <v>-3.0755505072926224</v>
      </c>
      <c r="H5" s="123">
        <f t="shared" si="1"/>
        <v>-3.0755505072926223E-2</v>
      </c>
      <c r="I5" s="15"/>
      <c r="J5" s="15"/>
      <c r="K5" s="15"/>
      <c r="L5" s="8"/>
    </row>
    <row r="6" spans="1:12" x14ac:dyDescent="0.35">
      <c r="A6" s="203" t="s">
        <v>493</v>
      </c>
      <c r="B6" s="204">
        <v>49.006137719298245</v>
      </c>
      <c r="C6" s="204">
        <v>3.3750000000000093</v>
      </c>
      <c r="D6" s="204">
        <v>11.900826446280997</v>
      </c>
      <c r="E6" s="204">
        <v>27.248421343873524</v>
      </c>
      <c r="F6" s="204">
        <v>-8.0227598484848546</v>
      </c>
      <c r="G6" s="172">
        <f t="shared" si="0"/>
        <v>16.701525132193584</v>
      </c>
      <c r="H6" s="123">
        <f t="shared" si="1"/>
        <v>0.16701525132193584</v>
      </c>
      <c r="I6" s="15"/>
      <c r="J6" s="15"/>
      <c r="K6" s="15"/>
      <c r="L6" s="8"/>
    </row>
    <row r="7" spans="1:12" x14ac:dyDescent="0.35">
      <c r="A7" s="203" t="s">
        <v>469</v>
      </c>
      <c r="B7" s="204">
        <v>2.7922527876166838</v>
      </c>
      <c r="C7" s="204">
        <v>3.9063516726896048</v>
      </c>
      <c r="D7" s="204">
        <v>4.4289941639985084</v>
      </c>
      <c r="E7" s="204">
        <v>2.5307537623073535</v>
      </c>
      <c r="F7" s="204">
        <v>3.0480451531572106</v>
      </c>
      <c r="G7" s="172">
        <f t="shared" si="0"/>
        <v>3.3412795079538724</v>
      </c>
      <c r="H7" s="123">
        <f t="shared" si="1"/>
        <v>3.3412795079538725E-2</v>
      </c>
      <c r="I7" s="15"/>
      <c r="J7" s="15"/>
      <c r="K7" s="15"/>
      <c r="L7" s="8"/>
    </row>
    <row r="8" spans="1:12" x14ac:dyDescent="0.35">
      <c r="A8" s="203" t="s">
        <v>494</v>
      </c>
      <c r="B8" s="204">
        <v>10.45062320230106</v>
      </c>
      <c r="C8" s="204">
        <v>21.527272727272724</v>
      </c>
      <c r="D8" s="204">
        <v>21.266345492085343</v>
      </c>
      <c r="E8" s="204">
        <v>32.562499999999979</v>
      </c>
      <c r="F8" s="204">
        <v>16.031457955232892</v>
      </c>
      <c r="G8" s="172">
        <f t="shared" si="0"/>
        <v>20.367639875378398</v>
      </c>
      <c r="H8" s="123">
        <f t="shared" si="1"/>
        <v>0.20367639875378399</v>
      </c>
      <c r="I8" s="15"/>
      <c r="J8" s="15"/>
      <c r="K8" s="15"/>
      <c r="L8" s="8"/>
    </row>
    <row r="9" spans="1:12" x14ac:dyDescent="0.35">
      <c r="A9" s="203" t="s">
        <v>500</v>
      </c>
      <c r="B9" s="204">
        <v>1.4748146643208036E-2</v>
      </c>
      <c r="C9" s="204">
        <v>0.27240740945715591</v>
      </c>
      <c r="D9" s="204">
        <v>-4.5801516793436132</v>
      </c>
      <c r="E9" s="204">
        <v>-0.46628156133370674</v>
      </c>
      <c r="F9" s="204">
        <v>-1.227424051357435</v>
      </c>
      <c r="G9" s="172">
        <f t="shared" si="0"/>
        <v>-1.1973403471868782</v>
      </c>
      <c r="H9" s="123">
        <f t="shared" si="1"/>
        <v>-1.1973403471868782E-2</v>
      </c>
      <c r="I9" s="15"/>
      <c r="J9" s="15"/>
      <c r="K9" s="15"/>
      <c r="L9" s="8"/>
    </row>
    <row r="10" spans="1:12" x14ac:dyDescent="0.35">
      <c r="A10" s="203" t="s">
        <v>495</v>
      </c>
      <c r="B10" s="204">
        <v>2.9461638745430103</v>
      </c>
      <c r="C10" s="204">
        <v>2.0174833241471353</v>
      </c>
      <c r="D10" s="204">
        <v>2.7513027306675539</v>
      </c>
      <c r="E10" s="204">
        <v>3.7304693445985504</v>
      </c>
      <c r="F10" s="204">
        <v>0.43958476895604448</v>
      </c>
      <c r="G10" s="172">
        <f t="shared" si="0"/>
        <v>2.3770008085824585</v>
      </c>
      <c r="H10" s="123">
        <f t="shared" si="1"/>
        <v>2.3770008085824586E-2</v>
      </c>
      <c r="I10" s="15"/>
      <c r="J10" s="15"/>
      <c r="K10" s="15"/>
      <c r="L10" s="8"/>
    </row>
    <row r="11" spans="1:12" x14ac:dyDescent="0.35">
      <c r="A11" s="203" t="s">
        <v>263</v>
      </c>
      <c r="B11" s="204">
        <v>-4.6322300650986445</v>
      </c>
      <c r="C11" s="204">
        <v>-4.7464486201165164</v>
      </c>
      <c r="D11" s="204">
        <v>-2.4745696805232091</v>
      </c>
      <c r="E11" s="204">
        <v>-2.5887007733762517</v>
      </c>
      <c r="F11" s="204">
        <v>-4.1433827573115911</v>
      </c>
      <c r="G11" s="172">
        <f t="shared" si="0"/>
        <v>-3.7170663792852423</v>
      </c>
      <c r="H11" s="123">
        <f t="shared" si="1"/>
        <v>-3.7170663792852422E-2</v>
      </c>
      <c r="I11" s="15"/>
      <c r="J11" s="15"/>
      <c r="K11" s="15"/>
      <c r="L11" s="8"/>
    </row>
    <row r="12" spans="1:12" x14ac:dyDescent="0.35">
      <c r="A12" s="203" t="s">
        <v>269</v>
      </c>
      <c r="B12" s="204">
        <v>-3.9579559510474192</v>
      </c>
      <c r="C12" s="204">
        <v>-0.40214202897996315</v>
      </c>
      <c r="D12" s="204">
        <v>-1.0711210604387968</v>
      </c>
      <c r="E12" s="204">
        <v>-0.20893694667594467</v>
      </c>
      <c r="F12" s="204">
        <v>2.7143780386803744</v>
      </c>
      <c r="G12" s="172">
        <f t="shared" si="0"/>
        <v>-0.58515558969234982</v>
      </c>
      <c r="H12" s="123">
        <f t="shared" si="1"/>
        <v>-5.8515558969234986E-3</v>
      </c>
      <c r="I12" s="15"/>
      <c r="J12" s="15"/>
      <c r="K12" s="15"/>
      <c r="L12" s="8"/>
    </row>
    <row r="13" spans="1:12" x14ac:dyDescent="0.35">
      <c r="A13" s="203" t="s">
        <v>55</v>
      </c>
      <c r="B13" s="204">
        <v>-1.5318962687379757E-2</v>
      </c>
      <c r="C13" s="204">
        <v>-4.2884224863034257</v>
      </c>
      <c r="D13" s="204">
        <v>-4.7642846214200789</v>
      </c>
      <c r="E13" s="204">
        <v>0.66720633286158471</v>
      </c>
      <c r="F13" s="204">
        <v>-2.0404409356740665</v>
      </c>
      <c r="G13" s="172">
        <f t="shared" si="0"/>
        <v>-2.088252134644673</v>
      </c>
      <c r="H13" s="123">
        <f t="shared" si="1"/>
        <v>-2.088252134644673E-2</v>
      </c>
      <c r="I13" s="15"/>
      <c r="J13" s="15"/>
      <c r="K13" s="15"/>
      <c r="L13" s="8"/>
    </row>
    <row r="14" spans="1:12" x14ac:dyDescent="0.35">
      <c r="A14" s="203" t="s">
        <v>266</v>
      </c>
      <c r="B14" s="204">
        <v>-2.872769176220308</v>
      </c>
      <c r="C14" s="204">
        <v>-0.40099999999999519</v>
      </c>
      <c r="D14" s="204">
        <v>2.099999999999997</v>
      </c>
      <c r="E14" s="204">
        <v>3.2475617347997523</v>
      </c>
      <c r="F14" s="204">
        <v>2.6999999999999966</v>
      </c>
      <c r="G14" s="172">
        <f t="shared" si="0"/>
        <v>0.95475851171588855</v>
      </c>
      <c r="H14" s="123">
        <f t="shared" si="1"/>
        <v>9.5475851171588858E-3</v>
      </c>
      <c r="I14" s="15"/>
      <c r="J14" s="15"/>
      <c r="K14" s="15"/>
      <c r="L14" s="8"/>
    </row>
    <row r="15" spans="1:12" x14ac:dyDescent="0.35">
      <c r="A15" s="203" t="s">
        <v>471</v>
      </c>
      <c r="B15" s="204">
        <v>25.319148936170194</v>
      </c>
      <c r="C15" s="204">
        <v>20.612244897959201</v>
      </c>
      <c r="D15" s="204">
        <v>8.424811320754733</v>
      </c>
      <c r="E15" s="204">
        <v>34.249224561403516</v>
      </c>
      <c r="F15" s="204">
        <v>-9.8177196721311528</v>
      </c>
      <c r="G15" s="172">
        <f t="shared" si="0"/>
        <v>15.757542008831299</v>
      </c>
      <c r="H15" s="123">
        <f t="shared" si="1"/>
        <v>0.15757542008831299</v>
      </c>
      <c r="I15" s="15"/>
      <c r="J15" s="15"/>
      <c r="K15" s="15"/>
      <c r="L15" s="8"/>
    </row>
    <row r="16" spans="1:12" x14ac:dyDescent="0.35">
      <c r="A16" s="203" t="s">
        <v>265</v>
      </c>
      <c r="B16" s="204">
        <v>-7.3382207299693203</v>
      </c>
      <c r="C16" s="204">
        <v>6.9683667621776522</v>
      </c>
      <c r="D16" s="204">
        <v>-1.199532074994464</v>
      </c>
      <c r="E16" s="204">
        <v>7.5798235214313783</v>
      </c>
      <c r="F16" s="204">
        <v>6.754136197582965</v>
      </c>
      <c r="G16" s="172">
        <f t="shared" si="0"/>
        <v>2.5529147352456421</v>
      </c>
      <c r="H16" s="123">
        <f t="shared" si="1"/>
        <v>2.552914735245642E-2</v>
      </c>
      <c r="I16" s="15"/>
      <c r="J16" s="15"/>
      <c r="K16" s="15"/>
      <c r="L16" s="8"/>
    </row>
    <row r="17" spans="1:12" ht="29" x14ac:dyDescent="0.35">
      <c r="A17" s="197" t="s">
        <v>502</v>
      </c>
      <c r="B17" s="19"/>
      <c r="C17" s="15"/>
      <c r="D17" s="15"/>
      <c r="E17" s="15"/>
      <c r="F17" s="15"/>
      <c r="G17" s="15"/>
      <c r="H17" s="15"/>
      <c r="I17" s="15"/>
      <c r="J17" s="15"/>
      <c r="K17" s="15"/>
      <c r="L17" s="8"/>
    </row>
    <row r="18" spans="1:12" x14ac:dyDescent="0.35">
      <c r="A18" s="202"/>
      <c r="B18" s="19"/>
      <c r="C18" s="15"/>
      <c r="D18" s="15"/>
      <c r="E18" s="15"/>
      <c r="F18" s="15"/>
      <c r="G18" s="15"/>
      <c r="H18" s="15"/>
      <c r="I18" s="15"/>
      <c r="J18" s="15"/>
      <c r="K18" s="15"/>
      <c r="L18" s="8"/>
    </row>
    <row r="27" spans="1:12" ht="18.5" x14ac:dyDescent="0.45">
      <c r="A27" s="154" t="s">
        <v>442</v>
      </c>
      <c r="B27" s="214" t="s">
        <v>263</v>
      </c>
      <c r="C27" s="214" t="s">
        <v>264</v>
      </c>
      <c r="D27" s="179" t="s">
        <v>265</v>
      </c>
      <c r="E27" s="179" t="s">
        <v>269</v>
      </c>
      <c r="F27" s="179" t="s">
        <v>55</v>
      </c>
      <c r="G27" s="179" t="s">
        <v>266</v>
      </c>
      <c r="H27" s="179" t="s">
        <v>65</v>
      </c>
      <c r="I27" s="137"/>
      <c r="J27" s="10"/>
      <c r="K27" s="10"/>
    </row>
    <row r="28" spans="1:12" ht="15.5" x14ac:dyDescent="0.35">
      <c r="A28" s="137" t="s">
        <v>298</v>
      </c>
      <c r="B28" s="205">
        <f>Overview!C8</f>
        <v>-0.05</v>
      </c>
      <c r="C28" s="205">
        <f>Overview!B8</f>
        <v>-2.7E-2</v>
      </c>
      <c r="D28" s="205">
        <f>Overview!H8</f>
        <v>6.7000000000000004E-2</v>
      </c>
      <c r="E28" s="205">
        <f>Overview!D8</f>
        <v>-1.2E-2</v>
      </c>
      <c r="F28" s="205">
        <f>Overview!E8</f>
        <v>0</v>
      </c>
      <c r="G28" s="205">
        <f>Overview!G8</f>
        <v>8.9999999999999993E-3</v>
      </c>
      <c r="H28" s="206">
        <v>-0.38100000000000001</v>
      </c>
      <c r="I28" s="137"/>
      <c r="J28" s="10"/>
      <c r="K28" s="10"/>
    </row>
    <row r="29" spans="1:12" ht="15.5" x14ac:dyDescent="0.35">
      <c r="A29" s="137" t="s">
        <v>299</v>
      </c>
      <c r="B29" s="205">
        <f>Overview!C48</f>
        <v>-5.4196228733597626E-2</v>
      </c>
      <c r="C29" s="205">
        <f>Overview!B48</f>
        <v>-0.09</v>
      </c>
      <c r="D29" s="205">
        <f>Overview!H48</f>
        <v>-7.4279379157427938E-2</v>
      </c>
      <c r="E29" s="205">
        <f>Overview!D48</f>
        <v>-1.6E-2</v>
      </c>
      <c r="F29" s="205">
        <f>Overview!E48</f>
        <v>-0.01</v>
      </c>
      <c r="G29" s="205">
        <f>Overview!G48</f>
        <v>-1.6E-2</v>
      </c>
      <c r="H29" s="207">
        <v>-0.308</v>
      </c>
      <c r="I29" s="137"/>
      <c r="J29" s="10"/>
      <c r="K29" s="10"/>
    </row>
    <row r="30" spans="1:12" ht="43.5" x14ac:dyDescent="0.35">
      <c r="A30" s="173" t="s">
        <v>590</v>
      </c>
      <c r="B30" s="208"/>
      <c r="C30" s="165"/>
      <c r="D30" s="165"/>
      <c r="E30" s="165"/>
      <c r="F30" s="165"/>
      <c r="G30" s="165"/>
      <c r="H30" s="165"/>
      <c r="I30" s="137"/>
      <c r="J30" s="10"/>
      <c r="K30" s="10"/>
    </row>
    <row r="31" spans="1:12" ht="15.5" x14ac:dyDescent="0.35">
      <c r="A31" s="137"/>
      <c r="B31" s="138"/>
      <c r="C31" s="139"/>
      <c r="D31" s="139"/>
      <c r="E31" s="139"/>
      <c r="F31" s="139"/>
      <c r="G31" s="139"/>
      <c r="H31" s="139"/>
      <c r="I31" s="137"/>
      <c r="J31" s="10"/>
      <c r="K31" s="10"/>
    </row>
    <row r="32" spans="1:12" x14ac:dyDescent="0.35">
      <c r="A32" s="106"/>
      <c r="B32" s="19"/>
      <c r="C32" s="15"/>
      <c r="D32" s="15"/>
      <c r="E32" s="15"/>
      <c r="F32" s="15"/>
      <c r="G32" s="15"/>
      <c r="H32" s="15"/>
      <c r="I32" s="10"/>
      <c r="J32" s="10"/>
      <c r="K32" s="10"/>
    </row>
    <row r="33" spans="1:11" x14ac:dyDescent="0.35">
      <c r="A33" s="106"/>
      <c r="B33" s="19"/>
      <c r="C33" s="15"/>
      <c r="D33" s="15"/>
      <c r="E33" s="15"/>
      <c r="F33" s="15"/>
      <c r="G33" s="15"/>
      <c r="H33" s="15"/>
      <c r="I33" s="10"/>
      <c r="J33" s="10"/>
      <c r="K33" s="10"/>
    </row>
    <row r="34" spans="1:11" x14ac:dyDescent="0.35">
      <c r="A34" s="106"/>
      <c r="B34" s="19"/>
      <c r="C34" s="15"/>
      <c r="D34" s="15"/>
      <c r="E34" s="15"/>
      <c r="F34" s="15"/>
      <c r="G34" s="15"/>
      <c r="H34" s="15"/>
      <c r="I34" s="10"/>
      <c r="J34" s="10"/>
      <c r="K34" s="10"/>
    </row>
    <row r="35" spans="1:11" x14ac:dyDescent="0.35">
      <c r="A35" s="106"/>
      <c r="B35" s="19"/>
      <c r="C35" s="15"/>
      <c r="D35" s="15"/>
      <c r="E35" s="15"/>
      <c r="F35" s="15"/>
      <c r="G35" s="15"/>
      <c r="H35" s="15"/>
      <c r="I35" s="10"/>
      <c r="J35" s="10"/>
      <c r="K35" s="10"/>
    </row>
    <row r="36" spans="1:11" x14ac:dyDescent="0.35">
      <c r="A36" s="106"/>
      <c r="B36" s="19"/>
      <c r="C36" s="15"/>
      <c r="D36" s="15"/>
      <c r="E36" s="15"/>
      <c r="F36" s="15"/>
      <c r="G36" s="15"/>
      <c r="H36" s="15"/>
      <c r="I36" s="10"/>
      <c r="J36" s="10"/>
      <c r="K36" s="10"/>
    </row>
    <row r="37" spans="1:11" x14ac:dyDescent="0.35">
      <c r="A37" s="106"/>
      <c r="B37" s="19"/>
      <c r="C37" s="15"/>
      <c r="D37" s="15"/>
      <c r="E37" s="15"/>
      <c r="F37" s="15"/>
      <c r="G37" s="15"/>
      <c r="H37" s="15"/>
      <c r="I37" s="10"/>
      <c r="J37" s="10"/>
      <c r="K37" s="10"/>
    </row>
    <row r="38" spans="1:11" x14ac:dyDescent="0.35">
      <c r="A38" s="106"/>
      <c r="B38" s="19"/>
      <c r="C38" s="15"/>
      <c r="D38" s="15"/>
      <c r="E38" s="15"/>
      <c r="F38" s="15"/>
      <c r="G38" s="15"/>
      <c r="H38" s="15"/>
      <c r="I38" s="10"/>
      <c r="J38" s="10"/>
      <c r="K38" s="10"/>
    </row>
    <row r="39" spans="1:11" x14ac:dyDescent="0.35">
      <c r="A39" s="106"/>
      <c r="B39" s="19"/>
      <c r="C39" s="15"/>
      <c r="D39" s="15"/>
      <c r="E39" s="15"/>
      <c r="F39" s="15"/>
      <c r="G39" s="15"/>
      <c r="H39" s="15"/>
      <c r="I39" s="10"/>
      <c r="J39" s="10"/>
      <c r="K39" s="10"/>
    </row>
    <row r="40" spans="1:11" x14ac:dyDescent="0.35">
      <c r="A40" s="106"/>
      <c r="B40" s="19"/>
      <c r="C40" s="15"/>
      <c r="D40" s="15"/>
      <c r="E40" s="15"/>
      <c r="F40" s="15"/>
      <c r="G40" s="15"/>
      <c r="H40" s="15"/>
      <c r="I40" s="10"/>
      <c r="J40" s="10"/>
      <c r="K40" s="10"/>
    </row>
    <row r="41" spans="1:11" x14ac:dyDescent="0.35">
      <c r="A41" s="106"/>
      <c r="B41" s="19"/>
      <c r="C41" s="15"/>
      <c r="D41" s="15"/>
      <c r="E41" s="15"/>
      <c r="F41" s="15"/>
      <c r="G41" s="15"/>
      <c r="H41" s="15"/>
      <c r="I41" s="10"/>
      <c r="J41" s="10"/>
      <c r="K41" s="10"/>
    </row>
    <row r="42" spans="1:11" x14ac:dyDescent="0.35">
      <c r="A42" s="106"/>
      <c r="B42" s="19"/>
      <c r="C42" s="15"/>
      <c r="D42" s="15"/>
      <c r="E42" s="15"/>
      <c r="F42" s="15"/>
      <c r="G42" s="15"/>
      <c r="H42" s="15"/>
      <c r="I42" s="10"/>
      <c r="J42" s="10"/>
      <c r="K42" s="10"/>
    </row>
    <row r="43" spans="1:11" x14ac:dyDescent="0.35">
      <c r="A43" s="106"/>
      <c r="B43" s="19"/>
      <c r="C43" s="15"/>
      <c r="D43" s="15"/>
      <c r="E43" s="15"/>
      <c r="F43" s="15"/>
      <c r="G43" s="15"/>
      <c r="H43" s="15"/>
      <c r="I43" s="10"/>
      <c r="J43" s="10"/>
      <c r="K43" s="10"/>
    </row>
    <row r="44" spans="1:11" x14ac:dyDescent="0.35">
      <c r="A44" s="106"/>
      <c r="B44" s="19"/>
      <c r="C44" s="15"/>
      <c r="D44" s="15"/>
      <c r="E44" s="15"/>
      <c r="F44" s="15"/>
      <c r="G44" s="15"/>
      <c r="H44" s="15"/>
      <c r="I44" s="10"/>
      <c r="J44" s="10"/>
      <c r="K44" s="10"/>
    </row>
    <row r="45" spans="1:11" x14ac:dyDescent="0.35">
      <c r="A45" s="106"/>
      <c r="B45" s="19"/>
      <c r="C45" s="15"/>
      <c r="D45" s="15"/>
      <c r="E45" s="15"/>
      <c r="F45" s="15"/>
      <c r="G45" s="15"/>
      <c r="H45" s="15"/>
      <c r="I45" s="10"/>
      <c r="J45" s="10"/>
      <c r="K45" s="10"/>
    </row>
    <row r="46" spans="1:11" x14ac:dyDescent="0.35">
      <c r="A46" s="106"/>
      <c r="B46" s="19"/>
      <c r="C46" s="15"/>
      <c r="D46" s="15"/>
      <c r="E46" s="15"/>
      <c r="F46" s="15"/>
      <c r="G46" s="15"/>
      <c r="H46" s="15"/>
      <c r="I46" s="10"/>
      <c r="J46" s="10"/>
      <c r="K46" s="10"/>
    </row>
    <row r="47" spans="1:11" x14ac:dyDescent="0.35">
      <c r="A47" s="106"/>
      <c r="B47" s="19"/>
      <c r="C47" s="15"/>
      <c r="D47" s="15"/>
      <c r="E47" s="15"/>
      <c r="F47" s="15"/>
      <c r="G47" s="15"/>
      <c r="H47" s="15"/>
      <c r="I47" s="10"/>
      <c r="J47" s="10"/>
      <c r="K47" s="10"/>
    </row>
    <row r="48" spans="1:11" x14ac:dyDescent="0.35">
      <c r="A48" s="106"/>
      <c r="B48" s="19"/>
      <c r="C48" s="15"/>
      <c r="D48" s="15"/>
      <c r="E48" s="15"/>
      <c r="F48" s="15"/>
      <c r="G48" s="15"/>
      <c r="H48" s="15"/>
      <c r="I48" s="10"/>
      <c r="J48" s="10"/>
      <c r="K48" s="10"/>
    </row>
    <row r="49" spans="1:11" x14ac:dyDescent="0.35">
      <c r="A49" s="106"/>
      <c r="B49" s="19"/>
      <c r="C49" s="15"/>
      <c r="D49" s="15"/>
      <c r="E49" s="15"/>
      <c r="F49" s="15"/>
      <c r="G49" s="15"/>
      <c r="H49" s="15"/>
      <c r="I49" s="10"/>
      <c r="J49" s="10"/>
      <c r="K49" s="10"/>
    </row>
    <row r="50" spans="1:11" x14ac:dyDescent="0.35">
      <c r="A50" s="106"/>
      <c r="B50" s="19"/>
      <c r="C50" s="15"/>
      <c r="D50" s="15"/>
      <c r="E50" s="15"/>
      <c r="F50" s="15"/>
      <c r="G50" s="15"/>
      <c r="H50" s="15"/>
      <c r="I50" s="10"/>
      <c r="J50" s="10"/>
      <c r="K50" s="10"/>
    </row>
    <row r="51" spans="1:11" x14ac:dyDescent="0.35">
      <c r="A51" s="106"/>
      <c r="B51" s="19"/>
      <c r="C51" s="15"/>
      <c r="D51" s="15"/>
      <c r="E51" s="15"/>
      <c r="F51" s="15"/>
      <c r="G51" s="15"/>
      <c r="H51" s="15"/>
      <c r="I51" s="10"/>
      <c r="J51" s="10"/>
      <c r="K51" s="10"/>
    </row>
    <row r="52" spans="1:11" x14ac:dyDescent="0.35">
      <c r="A52" s="106"/>
      <c r="B52" s="19"/>
      <c r="C52" s="15"/>
      <c r="D52" s="15"/>
      <c r="E52" s="15"/>
      <c r="F52" s="15"/>
      <c r="G52" s="15"/>
      <c r="H52" s="15"/>
      <c r="I52" s="10"/>
      <c r="J52" s="10"/>
      <c r="K52" s="10"/>
    </row>
    <row r="53" spans="1:11" x14ac:dyDescent="0.35">
      <c r="A53" s="106"/>
      <c r="B53" s="19"/>
      <c r="C53" s="15"/>
      <c r="D53" s="15"/>
      <c r="E53" s="15"/>
      <c r="F53" s="15"/>
      <c r="G53" s="15"/>
      <c r="H53" s="15"/>
      <c r="I53" s="10"/>
      <c r="J53" s="10"/>
      <c r="K53" s="10"/>
    </row>
    <row r="54" spans="1:11" x14ac:dyDescent="0.35">
      <c r="A54" s="106"/>
      <c r="B54" s="19"/>
      <c r="C54" s="15"/>
      <c r="D54" s="15"/>
      <c r="E54" s="15"/>
      <c r="F54" s="15"/>
      <c r="G54" s="15"/>
      <c r="H54" s="15"/>
      <c r="I54" s="10"/>
      <c r="J54" s="10"/>
      <c r="K54" s="10"/>
    </row>
    <row r="55" spans="1:11" x14ac:dyDescent="0.35">
      <c r="A55" s="106"/>
      <c r="B55" s="19"/>
      <c r="C55" s="15"/>
      <c r="D55" s="15"/>
      <c r="E55" s="15"/>
      <c r="F55" s="15"/>
      <c r="G55" s="15"/>
      <c r="H55" s="15"/>
      <c r="I55" s="10"/>
      <c r="J55" s="10"/>
      <c r="K55" s="10"/>
    </row>
    <row r="56" spans="1:11" x14ac:dyDescent="0.35">
      <c r="A56" s="106"/>
      <c r="B56" s="19"/>
      <c r="C56" s="15"/>
      <c r="D56" s="15"/>
      <c r="E56" s="15"/>
      <c r="F56" s="15"/>
      <c r="G56" s="15"/>
      <c r="H56" s="15"/>
      <c r="I56" s="10"/>
      <c r="J56" s="10"/>
      <c r="K56" s="10"/>
    </row>
    <row r="57" spans="1:11" x14ac:dyDescent="0.35">
      <c r="A57" s="106"/>
      <c r="B57" s="19"/>
      <c r="C57" s="15"/>
      <c r="D57" s="15"/>
      <c r="E57" s="15"/>
      <c r="F57" s="15"/>
      <c r="G57" s="15"/>
      <c r="H57" s="15"/>
      <c r="I57" s="10"/>
      <c r="J57" s="10"/>
      <c r="K57" s="10"/>
    </row>
    <row r="58" spans="1:11" x14ac:dyDescent="0.35">
      <c r="A58" s="106"/>
      <c r="B58" s="19"/>
      <c r="C58" s="15"/>
      <c r="D58" s="15"/>
      <c r="E58" s="15"/>
      <c r="F58" s="15"/>
      <c r="G58" s="15"/>
      <c r="H58" s="15"/>
      <c r="I58" s="10"/>
      <c r="J58" s="10"/>
      <c r="K58" s="10"/>
    </row>
    <row r="59" spans="1:11" x14ac:dyDescent="0.35">
      <c r="A59" s="106"/>
      <c r="B59" s="19"/>
      <c r="C59" s="15"/>
      <c r="D59" s="15"/>
      <c r="E59" s="15"/>
      <c r="F59" s="15"/>
      <c r="G59" s="15"/>
      <c r="H59" s="15"/>
      <c r="I59" s="10"/>
      <c r="J59" s="10"/>
      <c r="K59" s="10"/>
    </row>
    <row r="60" spans="1:11" x14ac:dyDescent="0.35">
      <c r="A60" s="106"/>
      <c r="B60" s="19"/>
      <c r="C60" s="15"/>
      <c r="D60" s="15"/>
      <c r="E60" s="15"/>
      <c r="F60" s="15"/>
      <c r="G60" s="15"/>
      <c r="H60" s="15"/>
      <c r="I60" s="10"/>
      <c r="J60" s="10"/>
      <c r="K60" s="10"/>
    </row>
    <row r="61" spans="1:11" x14ac:dyDescent="0.35">
      <c r="A61" s="106"/>
      <c r="B61" s="19"/>
      <c r="C61" s="15"/>
      <c r="D61" s="15"/>
      <c r="E61" s="15"/>
      <c r="F61" s="15"/>
      <c r="G61" s="15"/>
      <c r="H61" s="15"/>
      <c r="I61" s="10"/>
      <c r="J61" s="10"/>
      <c r="K61" s="10"/>
    </row>
    <row r="62" spans="1:11" x14ac:dyDescent="0.35">
      <c r="A62" s="106"/>
      <c r="B62" s="19"/>
      <c r="C62" s="15"/>
      <c r="D62" s="15"/>
      <c r="E62" s="15"/>
      <c r="F62" s="15"/>
      <c r="G62" s="15"/>
      <c r="H62" s="15"/>
      <c r="I62" s="10"/>
      <c r="J62" s="10"/>
      <c r="K62" s="10"/>
    </row>
    <row r="63" spans="1:11" x14ac:dyDescent="0.35">
      <c r="A63" s="106"/>
      <c r="B63" s="19"/>
      <c r="C63" s="15"/>
      <c r="D63" s="15"/>
      <c r="E63" s="15"/>
      <c r="F63" s="15"/>
      <c r="G63" s="15"/>
      <c r="H63" s="15"/>
      <c r="I63" s="10"/>
      <c r="J63" s="10"/>
      <c r="K63" s="10"/>
    </row>
    <row r="64" spans="1:11" x14ac:dyDescent="0.35">
      <c r="A64" s="106"/>
      <c r="B64" s="19"/>
      <c r="C64" s="15"/>
      <c r="D64" s="15"/>
      <c r="E64" s="15"/>
      <c r="F64" s="15"/>
      <c r="G64" s="15"/>
      <c r="H64" s="15"/>
      <c r="I64" s="10"/>
      <c r="J64" s="10"/>
      <c r="K64" s="10"/>
    </row>
    <row r="65" spans="1:11" x14ac:dyDescent="0.35">
      <c r="A65" s="106"/>
      <c r="B65" s="19"/>
      <c r="C65" s="15"/>
      <c r="D65" s="15"/>
      <c r="E65" s="15"/>
      <c r="F65" s="15"/>
      <c r="G65" s="15"/>
      <c r="H65" s="15"/>
      <c r="I65" s="10"/>
      <c r="J65" s="10"/>
      <c r="K65" s="10"/>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N61"/>
  <sheetViews>
    <sheetView zoomScale="90" zoomScaleNormal="90" workbookViewId="0">
      <selection activeCell="H45" sqref="H45"/>
    </sheetView>
  </sheetViews>
  <sheetFormatPr defaultRowHeight="14.5" x14ac:dyDescent="0.35"/>
  <cols>
    <col min="1" max="1" width="47.453125" customWidth="1"/>
    <col min="7" max="7" width="14.453125" bestFit="1" customWidth="1"/>
  </cols>
  <sheetData>
    <row r="1" spans="1:8" ht="18.5" x14ac:dyDescent="0.45">
      <c r="A1" s="140" t="s">
        <v>402</v>
      </c>
      <c r="B1" s="142">
        <v>2015</v>
      </c>
      <c r="C1" s="143">
        <v>2016</v>
      </c>
      <c r="D1" s="142">
        <v>2017</v>
      </c>
      <c r="E1" s="143">
        <v>2018</v>
      </c>
      <c r="F1" s="142">
        <v>2019</v>
      </c>
      <c r="G1" s="15" t="s">
        <v>498</v>
      </c>
      <c r="H1" s="15"/>
    </row>
    <row r="2" spans="1:8" x14ac:dyDescent="0.35">
      <c r="A2" s="141" t="s">
        <v>263</v>
      </c>
      <c r="B2" s="144">
        <v>-4.1000000000000002E-2</v>
      </c>
      <c r="C2" s="145">
        <v>1.4999999999999999E-2</v>
      </c>
      <c r="D2" s="145">
        <v>1.4999999999999999E-2</v>
      </c>
      <c r="E2" s="145">
        <v>3.4000000000000002E-2</v>
      </c>
      <c r="F2" s="145">
        <v>2.9000000000000001E-2</v>
      </c>
      <c r="G2" s="145">
        <f>AVERAGE(B2:F2)</f>
        <v>1.0400000000000001E-2</v>
      </c>
      <c r="H2" s="15"/>
    </row>
    <row r="3" spans="1:8" x14ac:dyDescent="0.35">
      <c r="A3" s="141" t="s">
        <v>264</v>
      </c>
      <c r="B3" s="144">
        <v>4.7E-2</v>
      </c>
      <c r="C3" s="145">
        <v>2.5000000000000001E-2</v>
      </c>
      <c r="D3" s="145">
        <v>5.3999999999999999E-2</v>
      </c>
      <c r="E3" s="145">
        <v>3.5000000000000003E-2</v>
      </c>
      <c r="F3" s="145">
        <v>5.0000000000000001E-3</v>
      </c>
      <c r="G3" s="145">
        <f t="shared" ref="G3:G6" si="0">AVERAGE(B3:F3)</f>
        <v>3.32E-2</v>
      </c>
      <c r="H3" s="15"/>
    </row>
    <row r="4" spans="1:8" x14ac:dyDescent="0.35">
      <c r="A4" s="141" t="s">
        <v>399</v>
      </c>
      <c r="B4" s="144">
        <v>3.056E-2</v>
      </c>
      <c r="C4" s="145">
        <v>3.551E-2</v>
      </c>
      <c r="D4" s="145">
        <v>-3.7990000000000003E-2</v>
      </c>
      <c r="E4" s="145">
        <v>-7.7999999999999996E-3</v>
      </c>
      <c r="F4" s="145">
        <v>3.4139999999999997E-2</v>
      </c>
      <c r="G4" s="145">
        <f t="shared" si="0"/>
        <v>1.0884E-2</v>
      </c>
      <c r="H4" s="15"/>
    </row>
    <row r="5" spans="1:8" x14ac:dyDescent="0.35">
      <c r="A5" s="141" t="s">
        <v>401</v>
      </c>
      <c r="B5" s="144">
        <v>7.0480000000000001E-2</v>
      </c>
      <c r="C5" s="145">
        <v>1.6299999999999999E-3</v>
      </c>
      <c r="D5" s="145">
        <v>1.038E-2</v>
      </c>
      <c r="E5" s="145">
        <v>-1.7850000000000001E-2</v>
      </c>
      <c r="F5" s="145">
        <v>3.1669999999999997E-2</v>
      </c>
      <c r="G5" s="145">
        <f t="shared" si="0"/>
        <v>1.9262000000000001E-2</v>
      </c>
      <c r="H5" s="15"/>
    </row>
    <row r="6" spans="1:8" x14ac:dyDescent="0.35">
      <c r="A6" s="141" t="s">
        <v>328</v>
      </c>
      <c r="B6" s="144">
        <f>(1+B4)/(1+B5)-1</f>
        <v>-3.7291682236006429E-2</v>
      </c>
      <c r="C6" s="144">
        <f>(1+C4)/(1+C5)-1</f>
        <v>3.3824865469284982E-2</v>
      </c>
      <c r="D6" s="144">
        <f>(1+D4)/(1+D5)-1</f>
        <v>-4.7873077456006663E-2</v>
      </c>
      <c r="E6" s="144">
        <f>(1+E4)/(1+E5)-1</f>
        <v>1.0232652853433777E-2</v>
      </c>
      <c r="F6" s="144">
        <f>(1+F4)/(1+F5)-1</f>
        <v>2.3941764323862635E-3</v>
      </c>
      <c r="G6" s="145">
        <f t="shared" si="0"/>
        <v>-7.7426129873816142E-3</v>
      </c>
      <c r="H6" s="15"/>
    </row>
    <row r="7" spans="1:8" ht="58" x14ac:dyDescent="0.35">
      <c r="A7" s="197" t="s">
        <v>571</v>
      </c>
      <c r="B7" s="19"/>
      <c r="C7" s="15"/>
      <c r="D7" s="15"/>
      <c r="E7" s="15"/>
      <c r="F7" s="15"/>
      <c r="G7" s="145"/>
      <c r="H7" s="15"/>
    </row>
    <row r="8" spans="1:8" ht="46.5" customHeight="1" x14ac:dyDescent="0.35">
      <c r="A8" s="197" t="s">
        <v>594</v>
      </c>
      <c r="B8" s="19"/>
      <c r="C8" s="15"/>
      <c r="D8" s="15"/>
      <c r="E8" s="15"/>
      <c r="F8" s="15"/>
      <c r="G8" s="145"/>
      <c r="H8" s="15"/>
    </row>
    <row r="9" spans="1:8" ht="87" x14ac:dyDescent="0.35">
      <c r="A9" s="197" t="s">
        <v>595</v>
      </c>
      <c r="B9" s="19"/>
      <c r="C9" s="15"/>
      <c r="D9" s="15"/>
      <c r="E9" s="15"/>
      <c r="F9" s="15"/>
      <c r="G9" s="145"/>
      <c r="H9" s="15"/>
    </row>
    <row r="10" spans="1:8" x14ac:dyDescent="0.35">
      <c r="A10" s="106"/>
      <c r="B10" s="19"/>
      <c r="C10" s="15"/>
      <c r="D10" s="15"/>
      <c r="E10" s="15"/>
      <c r="F10" s="15"/>
      <c r="G10" s="15"/>
      <c r="H10" s="15"/>
    </row>
    <row r="11" spans="1:8" x14ac:dyDescent="0.35">
      <c r="A11" s="106"/>
      <c r="B11" s="19"/>
      <c r="C11" s="15"/>
      <c r="D11" s="15"/>
      <c r="E11" s="15"/>
      <c r="F11" s="15"/>
      <c r="G11" s="15"/>
      <c r="H11" s="15"/>
    </row>
    <row r="12" spans="1:8" x14ac:dyDescent="0.35">
      <c r="A12" s="106"/>
      <c r="B12" s="19"/>
      <c r="C12" s="15"/>
      <c r="D12" s="15"/>
      <c r="E12" s="15"/>
      <c r="F12" s="15"/>
      <c r="G12" s="15"/>
      <c r="H12" s="15"/>
    </row>
    <row r="13" spans="1:8" ht="18.5" x14ac:dyDescent="0.45">
      <c r="A13" s="170" t="s">
        <v>496</v>
      </c>
      <c r="B13" s="19"/>
      <c r="C13" s="15"/>
      <c r="D13" s="15"/>
      <c r="E13" s="15"/>
      <c r="F13" s="15"/>
      <c r="G13" s="15"/>
      <c r="H13" s="15"/>
    </row>
    <row r="14" spans="1:8" x14ac:dyDescent="0.35">
      <c r="A14" s="106" t="s">
        <v>329</v>
      </c>
      <c r="B14" s="79" t="s">
        <v>384</v>
      </c>
      <c r="C14" s="79" t="s">
        <v>385</v>
      </c>
      <c r="D14" s="79" t="s">
        <v>386</v>
      </c>
      <c r="E14" s="79" t="s">
        <v>387</v>
      </c>
      <c r="F14" s="79" t="s">
        <v>388</v>
      </c>
      <c r="G14" s="79" t="s">
        <v>389</v>
      </c>
    </row>
    <row r="15" spans="1:8" x14ac:dyDescent="0.35">
      <c r="A15" s="106" t="s">
        <v>492</v>
      </c>
      <c r="B15">
        <v>3.0238942373196522</v>
      </c>
      <c r="C15">
        <v>-5.2503587832600829</v>
      </c>
      <c r="D15">
        <v>4.0478378003630127</v>
      </c>
      <c r="E15">
        <v>7.4710829773492264</v>
      </c>
      <c r="F15">
        <v>9.3863400122770742</v>
      </c>
    </row>
    <row r="16" spans="1:8" x14ac:dyDescent="0.35">
      <c r="A16" s="106" t="s">
        <v>493</v>
      </c>
      <c r="B16">
        <v>4.7058206089771772</v>
      </c>
      <c r="C16">
        <v>3.4835093905038121</v>
      </c>
      <c r="D16">
        <v>0.17366561639997258</v>
      </c>
      <c r="E16">
        <v>0.96327373801732108</v>
      </c>
      <c r="F16">
        <v>5.3212244661558117</v>
      </c>
      <c r="G16">
        <v>3.9996678031505297</v>
      </c>
    </row>
    <row r="17" spans="1:7" x14ac:dyDescent="0.35">
      <c r="A17" s="106" t="s">
        <v>469</v>
      </c>
      <c r="B17">
        <v>-0.67413962233440827</v>
      </c>
      <c r="C17">
        <v>-1.6142769350721125</v>
      </c>
      <c r="D17">
        <v>7.2437713790099849</v>
      </c>
      <c r="E17">
        <v>2.0061198107120362</v>
      </c>
      <c r="F17">
        <v>0.30852133664829751</v>
      </c>
    </row>
    <row r="18" spans="1:7" x14ac:dyDescent="0.35">
      <c r="A18" s="106" t="s">
        <v>494</v>
      </c>
      <c r="B18">
        <v>-6.1728395061728492</v>
      </c>
      <c r="C18">
        <v>-11.776315789473699</v>
      </c>
      <c r="D18">
        <v>27.285350613283981</v>
      </c>
      <c r="E18">
        <v>12.116186252771627</v>
      </c>
      <c r="F18">
        <v>3.7884361329314657</v>
      </c>
      <c r="G18">
        <v>3.3125</v>
      </c>
    </row>
    <row r="19" spans="1:7" x14ac:dyDescent="0.35">
      <c r="A19" s="106" t="s">
        <v>495</v>
      </c>
      <c r="B19">
        <v>4.2841753249425807</v>
      </c>
      <c r="C19">
        <v>4.7569577251621524</v>
      </c>
      <c r="D19">
        <v>6.1978742421529631</v>
      </c>
      <c r="E19">
        <v>-1.1208469118219426</v>
      </c>
      <c r="F19">
        <v>-2.4759773138763137</v>
      </c>
    </row>
    <row r="20" spans="1:7" x14ac:dyDescent="0.35">
      <c r="A20" s="106" t="s">
        <v>397</v>
      </c>
      <c r="B20">
        <v>2.4940332623523602</v>
      </c>
      <c r="C20">
        <v>3.0802191492720539</v>
      </c>
      <c r="D20">
        <v>2.5691157127561155</v>
      </c>
      <c r="E20">
        <v>2.0061198107120362</v>
      </c>
      <c r="F20">
        <v>3.4566027620896733</v>
      </c>
      <c r="G20">
        <v>2.3859137653267766</v>
      </c>
    </row>
    <row r="21" spans="1:7" x14ac:dyDescent="0.35">
      <c r="A21" s="106" t="s">
        <v>266</v>
      </c>
      <c r="B21">
        <v>0.86568293528095808</v>
      </c>
      <c r="C21">
        <v>1.4068467439551284</v>
      </c>
      <c r="D21">
        <v>1.692737942299388</v>
      </c>
      <c r="E21">
        <v>4.0922632486660007</v>
      </c>
      <c r="F21">
        <v>3.5892382471730144</v>
      </c>
    </row>
    <row r="22" spans="1:7" x14ac:dyDescent="0.35">
      <c r="A22" s="106" t="s">
        <v>471</v>
      </c>
      <c r="B22">
        <v>5.0654974528135028</v>
      </c>
      <c r="C22">
        <v>4.6306634449818915</v>
      </c>
      <c r="D22">
        <v>1.0002433844761072</v>
      </c>
      <c r="E22">
        <v>3.5623757986010389</v>
      </c>
      <c r="F22">
        <v>4.9240681086055673</v>
      </c>
      <c r="G22">
        <v>8.6939571150097805</v>
      </c>
    </row>
    <row r="23" spans="1:7" x14ac:dyDescent="0.35">
      <c r="A23" s="106" t="s">
        <v>265</v>
      </c>
      <c r="B23">
        <v>2.0106260566294765</v>
      </c>
      <c r="C23">
        <v>4.4930021940500495</v>
      </c>
      <c r="D23">
        <v>1.8414693255126764</v>
      </c>
      <c r="E23">
        <v>4.1569119697444421</v>
      </c>
      <c r="F23">
        <v>2.3320329595969156</v>
      </c>
      <c r="G23">
        <v>1.9992909694554299</v>
      </c>
    </row>
    <row r="24" spans="1:7" x14ac:dyDescent="0.35">
      <c r="A24" s="106" t="s">
        <v>269</v>
      </c>
      <c r="B24">
        <v>-0.15771054882006297</v>
      </c>
      <c r="C24">
        <v>4.2445245388415884</v>
      </c>
      <c r="D24">
        <v>1.1857818512640108</v>
      </c>
      <c r="E24">
        <v>-5.5591790660088236E-2</v>
      </c>
      <c r="F24">
        <v>2.038540318386751</v>
      </c>
      <c r="G24">
        <v>2.210399746769582</v>
      </c>
    </row>
    <row r="25" spans="1:7" x14ac:dyDescent="0.35">
      <c r="A25" s="182" t="s">
        <v>589</v>
      </c>
    </row>
    <row r="26" spans="1:7" x14ac:dyDescent="0.35">
      <c r="A26" s="106"/>
    </row>
    <row r="27" spans="1:7" x14ac:dyDescent="0.35">
      <c r="A27" s="181"/>
    </row>
    <row r="28" spans="1:7" ht="18.5" x14ac:dyDescent="0.45">
      <c r="A28" s="170" t="s">
        <v>497</v>
      </c>
    </row>
    <row r="29" spans="1:7" x14ac:dyDescent="0.35">
      <c r="A29" t="s">
        <v>329</v>
      </c>
      <c r="B29" s="79" t="s">
        <v>384</v>
      </c>
      <c r="C29" s="79" t="s">
        <v>385</v>
      </c>
      <c r="D29" s="79" t="s">
        <v>386</v>
      </c>
      <c r="E29" s="79" t="s">
        <v>387</v>
      </c>
      <c r="F29" s="79" t="s">
        <v>388</v>
      </c>
      <c r="G29" s="79" t="s">
        <v>389</v>
      </c>
    </row>
    <row r="30" spans="1:7" x14ac:dyDescent="0.35">
      <c r="A30" t="s">
        <v>492</v>
      </c>
      <c r="B30">
        <v>-2.3057757452932464</v>
      </c>
      <c r="C30">
        <v>4.6218840040493916</v>
      </c>
      <c r="D30">
        <v>0.90018041651693181</v>
      </c>
      <c r="E30">
        <v>2.6821859444555116</v>
      </c>
      <c r="F30">
        <v>0.21165360012676615</v>
      </c>
    </row>
    <row r="31" spans="1:7" x14ac:dyDescent="0.35">
      <c r="A31" t="s">
        <v>493</v>
      </c>
      <c r="B31">
        <v>-0.69782808727175905</v>
      </c>
      <c r="C31">
        <v>10.405407926567605</v>
      </c>
      <c r="D31">
        <v>5.1353832808548532</v>
      </c>
      <c r="E31">
        <v>0.8915081703723331</v>
      </c>
      <c r="F31">
        <v>2.313157810890317</v>
      </c>
      <c r="G31">
        <v>2.2473659625266151</v>
      </c>
    </row>
    <row r="32" spans="1:7" x14ac:dyDescent="0.35">
      <c r="A32" t="s">
        <v>469</v>
      </c>
      <c r="B32">
        <v>-0.93996531690437735</v>
      </c>
      <c r="C32">
        <v>1.5912884455893845</v>
      </c>
      <c r="D32">
        <v>1.3066658865999727</v>
      </c>
      <c r="E32">
        <v>4.0566445842693355</v>
      </c>
      <c r="F32">
        <v>3.6247527596621012</v>
      </c>
    </row>
    <row r="33" spans="1:8" x14ac:dyDescent="0.35">
      <c r="A33" t="s">
        <v>494</v>
      </c>
      <c r="B33">
        <v>26.5625</v>
      </c>
      <c r="C33">
        <v>3.7037037037036953</v>
      </c>
      <c r="D33">
        <v>3.5714285714285836</v>
      </c>
      <c r="E33">
        <v>-5.7471264367816133</v>
      </c>
      <c r="F33">
        <v>6.0975609756097668</v>
      </c>
      <c r="G33">
        <v>0</v>
      </c>
    </row>
    <row r="34" spans="1:8" x14ac:dyDescent="0.35">
      <c r="A34" t="s">
        <v>495</v>
      </c>
      <c r="B34">
        <v>4.3734134293283375</v>
      </c>
      <c r="C34">
        <v>10.075127574756564</v>
      </c>
      <c r="D34">
        <v>0.79667988819302593</v>
      </c>
      <c r="E34">
        <v>-3.517924714571123</v>
      </c>
      <c r="F34">
        <v>1.7055185834190922</v>
      </c>
    </row>
    <row r="35" spans="1:8" x14ac:dyDescent="0.35">
      <c r="A35" t="s">
        <v>397</v>
      </c>
      <c r="B35">
        <v>3.6752997738270352</v>
      </c>
      <c r="C35">
        <v>4.0844515513021236</v>
      </c>
      <c r="D35">
        <v>3.1860918039965895</v>
      </c>
      <c r="E35">
        <v>3.8890675268040411</v>
      </c>
      <c r="F35">
        <v>2.613652239338407</v>
      </c>
      <c r="G35">
        <v>1.820091801342187</v>
      </c>
    </row>
    <row r="36" spans="1:8" x14ac:dyDescent="0.35">
      <c r="A36" t="s">
        <v>266</v>
      </c>
      <c r="B36">
        <v>2.0726072607260733</v>
      </c>
      <c r="C36">
        <v>3.7118468701500262</v>
      </c>
      <c r="D36">
        <v>3.3794737498441236</v>
      </c>
      <c r="E36">
        <v>2.6999999999999886</v>
      </c>
      <c r="F36">
        <v>0.29999424465840718</v>
      </c>
    </row>
    <row r="37" spans="1:8" x14ac:dyDescent="0.35">
      <c r="A37" t="s">
        <v>471</v>
      </c>
      <c r="B37">
        <v>1.3480126822931453</v>
      </c>
      <c r="C37">
        <v>9.1428939328315408</v>
      </c>
      <c r="D37">
        <v>3.0347231532376924</v>
      </c>
      <c r="E37">
        <v>4.094017716801801</v>
      </c>
      <c r="F37">
        <v>2.5000000000000142</v>
      </c>
      <c r="G37">
        <v>9.75609756097559</v>
      </c>
    </row>
    <row r="38" spans="1:8" x14ac:dyDescent="0.35">
      <c r="A38" t="s">
        <v>265</v>
      </c>
      <c r="B38">
        <v>2.3043471016545283</v>
      </c>
      <c r="C38">
        <v>0.16286644951139806</v>
      </c>
      <c r="D38">
        <v>3.4715447154471519</v>
      </c>
      <c r="E38">
        <v>4.4126659856996895</v>
      </c>
      <c r="F38">
        <v>2.7993919600258721</v>
      </c>
      <c r="G38">
        <v>2.9105602974979234</v>
      </c>
    </row>
    <row r="39" spans="1:8" x14ac:dyDescent="0.35">
      <c r="A39" t="s">
        <v>269</v>
      </c>
      <c r="B39">
        <v>7.824533495292485E-2</v>
      </c>
      <c r="C39">
        <v>4.2721885284874759</v>
      </c>
      <c r="D39">
        <v>8.054160438104077</v>
      </c>
      <c r="E39">
        <v>1.0155595202188721</v>
      </c>
      <c r="F39">
        <v>-2.1680956780263756</v>
      </c>
      <c r="G39">
        <v>3.4728781472578021</v>
      </c>
    </row>
    <row r="40" spans="1:8" x14ac:dyDescent="0.35">
      <c r="A40" s="182" t="s">
        <v>589</v>
      </c>
    </row>
    <row r="41" spans="1:8" ht="58" x14ac:dyDescent="0.35">
      <c r="A41" s="173" t="s">
        <v>523</v>
      </c>
    </row>
    <row r="42" spans="1:8" x14ac:dyDescent="0.35">
      <c r="A42" s="183"/>
    </row>
    <row r="43" spans="1:8" ht="18.5" x14ac:dyDescent="0.45">
      <c r="A43" s="140" t="s">
        <v>402</v>
      </c>
    </row>
    <row r="44" spans="1:8" x14ac:dyDescent="0.35">
      <c r="A44" t="s">
        <v>329</v>
      </c>
      <c r="B44" s="107" t="s">
        <v>384</v>
      </c>
      <c r="C44" s="107" t="s">
        <v>385</v>
      </c>
      <c r="D44" s="107" t="s">
        <v>386</v>
      </c>
      <c r="E44" s="107" t="s">
        <v>387</v>
      </c>
      <c r="F44" s="107" t="s">
        <v>388</v>
      </c>
      <c r="G44" s="107" t="s">
        <v>389</v>
      </c>
      <c r="H44" s="218" t="s">
        <v>498</v>
      </c>
    </row>
    <row r="45" spans="1:8" x14ac:dyDescent="0.35">
      <c r="A45" s="141" t="s">
        <v>492</v>
      </c>
      <c r="B45" s="32">
        <f t="shared" ref="B45:F54" si="1">(1+B30/100)/(1+B15/100)-1</f>
        <v>-5.1732367739233398E-2</v>
      </c>
      <c r="C45" s="32">
        <f t="shared" si="1"/>
        <v>0.10419293055397127</v>
      </c>
      <c r="D45" s="32">
        <f t="shared" si="1"/>
        <v>-3.0252021093273518E-2</v>
      </c>
      <c r="E45" s="32">
        <f t="shared" si="1"/>
        <v>-4.4559865781784613E-2</v>
      </c>
      <c r="F45" s="32">
        <f t="shared" si="1"/>
        <v>-8.387415111540053E-2</v>
      </c>
      <c r="G45" s="32"/>
      <c r="H45" s="209">
        <f>SUM(B45:G45)/5</f>
        <v>-2.1245095035144157E-2</v>
      </c>
    </row>
    <row r="46" spans="1:8" x14ac:dyDescent="0.35">
      <c r="A46" s="141" t="s">
        <v>493</v>
      </c>
      <c r="B46" s="32">
        <f t="shared" si="1"/>
        <v>-5.1607911239517468E-2</v>
      </c>
      <c r="C46" s="32">
        <f t="shared" si="1"/>
        <v>6.6888904104937419E-2</v>
      </c>
      <c r="D46" s="32">
        <f t="shared" si="1"/>
        <v>4.9531158053604862E-2</v>
      </c>
      <c r="E46" s="32">
        <f t="shared" si="1"/>
        <v>-7.1080864345984818E-4</v>
      </c>
      <c r="F46" s="32">
        <f t="shared" si="1"/>
        <v>-2.8560878118466193E-2</v>
      </c>
      <c r="G46" s="32">
        <f>(1+G31/100)/(1+G16/100)-1</f>
        <v>-1.6849109979280463E-2</v>
      </c>
      <c r="H46" s="210">
        <f>SUM(C46:G46)/5</f>
        <v>1.4059853083467156E-2</v>
      </c>
    </row>
    <row r="47" spans="1:8" x14ac:dyDescent="0.35">
      <c r="A47" s="141" t="s">
        <v>469</v>
      </c>
      <c r="B47" s="32">
        <f t="shared" si="1"/>
        <v>-2.6762989372477453E-3</v>
      </c>
      <c r="C47" s="32">
        <f t="shared" si="1"/>
        <v>3.2581611241968789E-2</v>
      </c>
      <c r="D47" s="32">
        <f t="shared" si="1"/>
        <v>-5.5360842089632323E-2</v>
      </c>
      <c r="E47" s="32">
        <f t="shared" si="1"/>
        <v>2.010197797310953E-2</v>
      </c>
      <c r="F47" s="32">
        <f t="shared" si="1"/>
        <v>3.3060316101003018E-2</v>
      </c>
      <c r="G47" s="32">
        <f>(1+G32/100)/(1+G17/100)-1</f>
        <v>0</v>
      </c>
      <c r="H47" s="210">
        <f>SUM(C47:G47)/5</f>
        <v>6.0766126452898028E-3</v>
      </c>
    </row>
    <row r="48" spans="1:8" x14ac:dyDescent="0.35">
      <c r="A48" s="141" t="s">
        <v>494</v>
      </c>
      <c r="B48" s="32">
        <f t="shared" si="1"/>
        <v>0.34888980263157898</v>
      </c>
      <c r="C48" s="32">
        <f t="shared" si="1"/>
        <v>0.17546330820007205</v>
      </c>
      <c r="D48" s="32">
        <f t="shared" si="1"/>
        <v>-0.18630519480519492</v>
      </c>
      <c r="E48" s="32">
        <f t="shared" si="1"/>
        <v>-0.15932857945488343</v>
      </c>
      <c r="F48" s="32">
        <f t="shared" si="1"/>
        <v>2.2248382659131538E-2</v>
      </c>
      <c r="G48" s="32">
        <f>(1+G33/100)/(1+G18/100)-1</f>
        <v>-3.2062915910465839E-2</v>
      </c>
      <c r="H48" s="210">
        <f>SUM(C48:G48)/5</f>
        <v>-3.599699986226812E-2</v>
      </c>
    </row>
    <row r="49" spans="1:14" x14ac:dyDescent="0.35">
      <c r="A49" s="141" t="s">
        <v>495</v>
      </c>
      <c r="B49" s="32">
        <f t="shared" si="1"/>
        <v>8.5572047827664477E-4</v>
      </c>
      <c r="C49" s="32">
        <f t="shared" si="1"/>
        <v>5.0766745857082185E-2</v>
      </c>
      <c r="D49" s="32">
        <f t="shared" si="1"/>
        <v>-5.0859721934208402E-2</v>
      </c>
      <c r="E49" s="32">
        <f t="shared" si="1"/>
        <v>-2.4242499332609801E-2</v>
      </c>
      <c r="F49" s="32">
        <f t="shared" si="1"/>
        <v>4.287657319831184E-2</v>
      </c>
      <c r="G49" s="32"/>
      <c r="H49" s="210">
        <f>SUM(B49:G49)/5</f>
        <v>3.8793636533704934E-3</v>
      </c>
    </row>
    <row r="50" spans="1:14" x14ac:dyDescent="0.35">
      <c r="A50" s="141" t="s">
        <v>397</v>
      </c>
      <c r="B50" s="32">
        <f t="shared" si="1"/>
        <v>1.152522223855712E-2</v>
      </c>
      <c r="C50" s="32">
        <f t="shared" si="1"/>
        <v>9.742241628103443E-3</v>
      </c>
      <c r="D50" s="32">
        <f t="shared" si="1"/>
        <v>6.0152228763314941E-3</v>
      </c>
      <c r="E50" s="32">
        <f t="shared" si="1"/>
        <v>1.8459164210795409E-2</v>
      </c>
      <c r="F50" s="32">
        <f t="shared" si="1"/>
        <v>-8.1478658707722085E-3</v>
      </c>
      <c r="G50" s="32">
        <f>(1+G35/100)/(1+G20/100)-1</f>
        <v>-5.5263653287450643E-3</v>
      </c>
      <c r="H50" s="210">
        <f>SUM(C50:G50)/5</f>
        <v>4.1084795031426143E-3</v>
      </c>
    </row>
    <row r="51" spans="1:14" x14ac:dyDescent="0.35">
      <c r="A51" s="141" t="s">
        <v>266</v>
      </c>
      <c r="B51" s="32">
        <f t="shared" si="1"/>
        <v>1.1965658589943917E-2</v>
      </c>
      <c r="C51" s="32">
        <f t="shared" si="1"/>
        <v>2.2730221875598478E-2</v>
      </c>
      <c r="D51" s="32">
        <f t="shared" si="1"/>
        <v>1.6586590563642867E-2</v>
      </c>
      <c r="E51" s="32">
        <f t="shared" si="1"/>
        <v>-1.3375280786623311E-2</v>
      </c>
      <c r="F51" s="32">
        <f t="shared" si="1"/>
        <v>-3.1752757894272565E-2</v>
      </c>
      <c r="G51" s="32"/>
      <c r="H51" s="210">
        <f>SUM(B51:G51)/5</f>
        <v>1.2308864696578769E-3</v>
      </c>
    </row>
    <row r="52" spans="1:14" x14ac:dyDescent="0.35">
      <c r="A52" s="141" t="s">
        <v>471</v>
      </c>
      <c r="B52" s="32">
        <f t="shared" si="1"/>
        <v>-3.5382545751424632E-2</v>
      </c>
      <c r="C52" s="32">
        <f t="shared" si="1"/>
        <v>4.3125316606850372E-2</v>
      </c>
      <c r="D52" s="32">
        <f t="shared" si="1"/>
        <v>2.014331550684445E-2</v>
      </c>
      <c r="E52" s="32">
        <f t="shared" si="1"/>
        <v>5.1335430855183883E-3</v>
      </c>
      <c r="F52" s="32">
        <f t="shared" si="1"/>
        <v>-2.3103070175438112E-2</v>
      </c>
      <c r="G52" s="32">
        <f>(1+G37/100)/(1+G22/100)-1</f>
        <v>9.7718444903240886E-3</v>
      </c>
      <c r="H52" s="210">
        <f>SUM(C52:G52)/5</f>
        <v>1.1014189902819837E-2</v>
      </c>
    </row>
    <row r="53" spans="1:14" x14ac:dyDescent="0.35">
      <c r="A53" s="141" t="s">
        <v>265</v>
      </c>
      <c r="B53" s="32">
        <f t="shared" si="1"/>
        <v>2.8793181296817849E-3</v>
      </c>
      <c r="C53" s="32">
        <f t="shared" si="1"/>
        <v>-4.1439480669694162E-2</v>
      </c>
      <c r="D53" s="32">
        <f t="shared" si="1"/>
        <v>1.6006008168679475E-2</v>
      </c>
      <c r="E53" s="32">
        <f t="shared" si="1"/>
        <v>2.4554684957398543E-3</v>
      </c>
      <c r="F53" s="32">
        <f t="shared" si="1"/>
        <v>4.567084097835572E-3</v>
      </c>
      <c r="G53" s="32">
        <f>(1+G38/100)/(1+G23/100)-1</f>
        <v>8.9340751232807047E-3</v>
      </c>
      <c r="H53" s="210">
        <f>SUM(C53:G53)/5</f>
        <v>-1.8953689568317112E-3</v>
      </c>
    </row>
    <row r="54" spans="1:14" x14ac:dyDescent="0.35">
      <c r="A54" s="141" t="s">
        <v>269</v>
      </c>
      <c r="B54" s="32">
        <f t="shared" si="1"/>
        <v>2.363285989033459E-3</v>
      </c>
      <c r="C54" s="32">
        <f t="shared" si="1"/>
        <v>2.6537594917597218E-4</v>
      </c>
      <c r="D54" s="32">
        <f t="shared" si="1"/>
        <v>6.7878890306309003E-2</v>
      </c>
      <c r="E54" s="32">
        <f t="shared" si="1"/>
        <v>1.0717471142911439E-2</v>
      </c>
      <c r="F54" s="32">
        <f t="shared" si="1"/>
        <v>-4.1225952304759783E-2</v>
      </c>
      <c r="G54" s="32">
        <f>(1+G39/100)/(1+G24/100)-1</f>
        <v>1.2351760717266291E-2</v>
      </c>
      <c r="H54" s="210">
        <f>SUM(C54:G54)/5</f>
        <v>9.9975091621805848E-3</v>
      </c>
    </row>
    <row r="55" spans="1:14" x14ac:dyDescent="0.35">
      <c r="A55" s="141" t="s">
        <v>328</v>
      </c>
      <c r="B55" s="19"/>
      <c r="C55" s="171">
        <v>-3.7291682236006429E-2</v>
      </c>
      <c r="D55" s="171">
        <v>3.3824865469284982E-2</v>
      </c>
      <c r="E55" s="171">
        <v>-4.7873077456006663E-2</v>
      </c>
      <c r="F55" s="171">
        <v>1.0232652853433777E-2</v>
      </c>
      <c r="G55" s="171">
        <v>2.3941764323862635E-3</v>
      </c>
      <c r="H55" s="210">
        <f>SUM(C55:G55)/5</f>
        <v>-7.7426129873816142E-3</v>
      </c>
    </row>
    <row r="56" spans="1:14" ht="15.5" x14ac:dyDescent="0.35">
      <c r="A56" s="198" t="s">
        <v>588</v>
      </c>
      <c r="B56" s="19"/>
      <c r="C56" s="15"/>
      <c r="D56" s="15"/>
      <c r="E56" s="15"/>
      <c r="F56" s="15"/>
      <c r="G56" s="15"/>
      <c r="H56" s="15"/>
    </row>
    <row r="57" spans="1:14" ht="43.5" x14ac:dyDescent="0.35">
      <c r="A57" s="173" t="s">
        <v>596</v>
      </c>
      <c r="B57" s="19"/>
      <c r="C57" s="15"/>
      <c r="D57" s="15"/>
      <c r="E57" s="15"/>
      <c r="F57" s="15"/>
      <c r="G57" s="15"/>
      <c r="H57" s="15"/>
    </row>
    <row r="60" spans="1:14" ht="21" x14ac:dyDescent="0.5">
      <c r="A60" s="148" t="s">
        <v>626</v>
      </c>
      <c r="B60" s="107" t="s">
        <v>263</v>
      </c>
      <c r="C60" s="107" t="s">
        <v>264</v>
      </c>
      <c r="D60" s="107" t="s">
        <v>512</v>
      </c>
      <c r="E60" s="107" t="s">
        <v>511</v>
      </c>
      <c r="F60" s="107" t="s">
        <v>493</v>
      </c>
      <c r="G60" s="107" t="s">
        <v>469</v>
      </c>
      <c r="H60" s="107" t="s">
        <v>494</v>
      </c>
      <c r="I60" s="107" t="s">
        <v>495</v>
      </c>
      <c r="J60" s="107" t="s">
        <v>266</v>
      </c>
      <c r="K60" s="107" t="s">
        <v>471</v>
      </c>
      <c r="L60" s="107" t="s">
        <v>265</v>
      </c>
      <c r="M60" s="107" t="s">
        <v>269</v>
      </c>
    </row>
    <row r="61" spans="1:14" x14ac:dyDescent="0.35">
      <c r="A61" s="141" t="s">
        <v>518</v>
      </c>
      <c r="B61" s="212">
        <v>1.0400000000000001E-2</v>
      </c>
      <c r="C61" s="212">
        <v>3.32E-2</v>
      </c>
      <c r="D61" s="212">
        <v>-7.7426129873816142E-3</v>
      </c>
      <c r="E61" s="212">
        <v>-2.1245095035144157E-2</v>
      </c>
      <c r="F61" s="212">
        <v>1.4059853083467156E-2</v>
      </c>
      <c r="G61" s="212">
        <v>6.0766126452898028E-3</v>
      </c>
      <c r="H61" s="212">
        <v>-3.599699986226812E-2</v>
      </c>
      <c r="I61" s="212">
        <v>3.8793636533704934E-3</v>
      </c>
      <c r="J61" s="212">
        <v>1.2308864696578769E-3</v>
      </c>
      <c r="K61" s="212">
        <v>1.1014189902819837E-2</v>
      </c>
      <c r="L61" s="212">
        <v>-1.8953689568317112E-3</v>
      </c>
      <c r="M61" s="212">
        <v>9.9975091621805848E-3</v>
      </c>
      <c r="N61" s="211"/>
    </row>
  </sheetData>
  <pageMargins left="0.7" right="0.7" top="0.75" bottom="0.75" header="0.3" footer="0.3"/>
  <pageSetup paperSize="9" orientation="portrait" horizontalDpi="4294967293"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3:O39"/>
  <sheetViews>
    <sheetView zoomScale="90" zoomScaleNormal="90" workbookViewId="0">
      <selection activeCell="D11" sqref="D11"/>
    </sheetView>
  </sheetViews>
  <sheetFormatPr defaultRowHeight="14.5" x14ac:dyDescent="0.35"/>
  <cols>
    <col min="1" max="1" width="52" customWidth="1"/>
    <col min="15" max="15" width="11.453125" bestFit="1" customWidth="1"/>
  </cols>
  <sheetData>
    <row r="3" spans="1:15" x14ac:dyDescent="0.35">
      <c r="A3" s="106"/>
      <c r="B3" s="19"/>
      <c r="C3" s="15"/>
      <c r="D3" s="15"/>
      <c r="E3" s="15"/>
      <c r="F3" s="15"/>
      <c r="G3" s="15"/>
      <c r="H3" s="15"/>
      <c r="I3" s="10"/>
      <c r="J3" s="10"/>
      <c r="K3" s="10"/>
    </row>
    <row r="4" spans="1:15" x14ac:dyDescent="0.35">
      <c r="A4" s="106"/>
      <c r="B4" s="19"/>
      <c r="C4" s="15"/>
      <c r="D4" s="15"/>
      <c r="E4" s="15"/>
      <c r="F4" s="15"/>
      <c r="G4" s="15"/>
      <c r="H4" s="15"/>
      <c r="I4" s="10"/>
      <c r="J4" s="10"/>
      <c r="K4" s="10"/>
    </row>
    <row r="5" spans="1:15" x14ac:dyDescent="0.35">
      <c r="A5" s="106"/>
      <c r="B5" s="19"/>
      <c r="C5" s="15"/>
      <c r="D5" s="15"/>
      <c r="E5" s="15"/>
      <c r="F5" s="15"/>
      <c r="G5" s="15"/>
      <c r="H5" s="15"/>
      <c r="I5" s="10"/>
      <c r="J5" s="10"/>
      <c r="K5" s="10"/>
    </row>
    <row r="6" spans="1:15" x14ac:dyDescent="0.35">
      <c r="A6" s="106"/>
      <c r="B6" s="19"/>
      <c r="C6" s="15"/>
      <c r="D6" s="15"/>
      <c r="E6" s="15"/>
      <c r="F6" s="15"/>
      <c r="G6" s="15"/>
      <c r="H6" s="15"/>
      <c r="I6" s="10"/>
      <c r="J6" s="10"/>
      <c r="K6" s="10"/>
    </row>
    <row r="7" spans="1:15" ht="21" x14ac:dyDescent="0.5">
      <c r="A7" s="148" t="s">
        <v>525</v>
      </c>
      <c r="B7" s="19"/>
      <c r="C7" s="15"/>
      <c r="D7" s="15"/>
      <c r="E7" s="15"/>
      <c r="F7" s="15"/>
      <c r="G7" s="15"/>
      <c r="H7" s="15"/>
      <c r="I7" s="10"/>
      <c r="J7" s="10"/>
      <c r="K7" s="10"/>
    </row>
    <row r="8" spans="1:15" x14ac:dyDescent="0.35">
      <c r="A8" s="106"/>
      <c r="B8" s="19"/>
      <c r="C8" s="15"/>
      <c r="D8" s="15"/>
      <c r="E8" s="15"/>
      <c r="F8" s="15"/>
      <c r="G8" s="15"/>
      <c r="H8" s="15"/>
      <c r="I8" s="10"/>
      <c r="J8" s="10"/>
      <c r="K8" s="10"/>
    </row>
    <row r="9" spans="1:15" x14ac:dyDescent="0.35">
      <c r="A9" s="79"/>
      <c r="B9" s="194" t="s">
        <v>263</v>
      </c>
      <c r="C9" s="194" t="s">
        <v>264</v>
      </c>
      <c r="D9" s="194" t="s">
        <v>265</v>
      </c>
      <c r="E9" s="194" t="s">
        <v>269</v>
      </c>
      <c r="F9" s="194" t="s">
        <v>55</v>
      </c>
      <c r="G9" s="194" t="s">
        <v>266</v>
      </c>
      <c r="H9" s="194" t="s">
        <v>65</v>
      </c>
      <c r="I9" s="194" t="s">
        <v>511</v>
      </c>
      <c r="J9" s="194" t="s">
        <v>493</v>
      </c>
      <c r="K9" s="194" t="s">
        <v>526</v>
      </c>
      <c r="L9" s="194" t="s">
        <v>494</v>
      </c>
      <c r="M9" s="194" t="s">
        <v>495</v>
      </c>
      <c r="N9" s="194" t="s">
        <v>471</v>
      </c>
      <c r="O9" s="194" t="s">
        <v>499</v>
      </c>
    </row>
    <row r="10" spans="1:15" x14ac:dyDescent="0.35">
      <c r="A10" s="106" t="s">
        <v>298</v>
      </c>
      <c r="B10" s="175">
        <f>Overview!C14</f>
        <v>0.02</v>
      </c>
      <c r="C10" s="175">
        <f>Overview!B14</f>
        <v>0.03</v>
      </c>
      <c r="D10" s="175">
        <f>Overview!H14</f>
        <v>3.7999999999999999E-2</v>
      </c>
      <c r="E10" s="175">
        <f>Overview!D14</f>
        <v>4.9000000000000002E-2</v>
      </c>
      <c r="F10" s="175">
        <f>Overview!E14</f>
        <v>2.3E-2</v>
      </c>
      <c r="G10" s="175">
        <f>Overview!G14</f>
        <v>0.03</v>
      </c>
      <c r="H10" s="175">
        <f>Overview!F14</f>
        <v>7.1999999999999995E-2</v>
      </c>
      <c r="I10" s="176">
        <v>2.5000000000000001E-2</v>
      </c>
      <c r="J10" s="176">
        <v>2.3E-2</v>
      </c>
      <c r="K10" s="176">
        <v>2.1999999999999999E-2</v>
      </c>
      <c r="L10" s="176">
        <v>1E-3</v>
      </c>
      <c r="M10" s="177">
        <v>0.01</v>
      </c>
      <c r="N10" s="176">
        <v>4.3999999999999997E-2</v>
      </c>
      <c r="O10" s="176">
        <v>4.4999999999999998E-2</v>
      </c>
    </row>
    <row r="11" spans="1:15" x14ac:dyDescent="0.35">
      <c r="A11" s="106" t="s">
        <v>299</v>
      </c>
      <c r="B11" s="175">
        <f>Overview!C15</f>
        <v>-1.4999999999999999E-2</v>
      </c>
      <c r="C11" s="175">
        <f>Overview!B15</f>
        <v>-0.20899999999999999</v>
      </c>
      <c r="D11" s="175">
        <f>Overview!H15</f>
        <v>-9.8000000000000004E-2</v>
      </c>
      <c r="E11" s="175">
        <f>Overview!D15</f>
        <v>-3.3000000000000002E-2</v>
      </c>
      <c r="F11" s="175">
        <f>Overview!E15</f>
        <v>-0.06</v>
      </c>
      <c r="G11" s="175">
        <f>Overview!G15</f>
        <v>-0.03</v>
      </c>
      <c r="H11" s="175">
        <f>Overview!F15</f>
        <v>-3.6999999999999998E-2</v>
      </c>
      <c r="I11" s="177">
        <v>-0.02</v>
      </c>
      <c r="J11" s="176">
        <v>6.0000000000000001E-3</v>
      </c>
      <c r="K11" s="176">
        <v>-5.5E-2</v>
      </c>
      <c r="L11" s="176">
        <v>-1.7000000000000001E-2</v>
      </c>
      <c r="M11" s="176">
        <v>-9.5000000000000001E-2</v>
      </c>
      <c r="N11" s="176">
        <v>0.02</v>
      </c>
      <c r="O11" s="176">
        <v>-0.09</v>
      </c>
    </row>
    <row r="12" spans="1:15" x14ac:dyDescent="0.35">
      <c r="A12" s="180" t="s">
        <v>577</v>
      </c>
      <c r="B12" s="19"/>
      <c r="C12" s="15"/>
      <c r="D12" s="15"/>
      <c r="E12" s="15"/>
      <c r="F12" s="15"/>
      <c r="G12" s="15"/>
      <c r="H12" s="15"/>
      <c r="I12" s="10"/>
      <c r="J12" s="10"/>
      <c r="K12" s="10"/>
    </row>
    <row r="13" spans="1:15" x14ac:dyDescent="0.35">
      <c r="A13" s="106"/>
      <c r="B13" s="195" t="s">
        <v>493</v>
      </c>
      <c r="C13" s="184" t="s">
        <v>263</v>
      </c>
      <c r="D13" s="196" t="s">
        <v>494</v>
      </c>
      <c r="E13" s="195" t="s">
        <v>511</v>
      </c>
      <c r="F13" s="184" t="s">
        <v>266</v>
      </c>
      <c r="G13" s="184" t="s">
        <v>269</v>
      </c>
      <c r="H13" s="184" t="s">
        <v>65</v>
      </c>
      <c r="I13" s="195" t="s">
        <v>526</v>
      </c>
      <c r="J13" s="184" t="s">
        <v>55</v>
      </c>
      <c r="K13" s="196" t="s">
        <v>499</v>
      </c>
      <c r="L13" s="196" t="s">
        <v>495</v>
      </c>
      <c r="M13" s="184" t="s">
        <v>265</v>
      </c>
      <c r="N13" s="196" t="s">
        <v>471</v>
      </c>
      <c r="O13" s="184" t="s">
        <v>264</v>
      </c>
    </row>
    <row r="14" spans="1:15" x14ac:dyDescent="0.35">
      <c r="A14" s="106" t="s">
        <v>298</v>
      </c>
      <c r="B14" s="10">
        <v>2.3E-2</v>
      </c>
      <c r="C14" s="19">
        <v>0.02</v>
      </c>
      <c r="D14">
        <v>1E-3</v>
      </c>
      <c r="E14" s="10">
        <v>2.5000000000000001E-2</v>
      </c>
      <c r="F14" s="15">
        <v>0.03</v>
      </c>
      <c r="G14" s="15">
        <v>4.9000000000000002E-2</v>
      </c>
      <c r="H14" s="15">
        <v>7.1999999999999995E-2</v>
      </c>
      <c r="I14" s="10">
        <v>2.1999999999999999E-2</v>
      </c>
      <c r="J14" s="15">
        <v>2.3E-2</v>
      </c>
      <c r="K14">
        <v>4.4999999999999998E-2</v>
      </c>
      <c r="L14">
        <v>0.01</v>
      </c>
      <c r="M14" s="15">
        <v>3.7999999999999999E-2</v>
      </c>
      <c r="N14">
        <v>4.3999999999999997E-2</v>
      </c>
      <c r="O14" s="15">
        <v>0.03</v>
      </c>
    </row>
    <row r="15" spans="1:15" x14ac:dyDescent="0.35">
      <c r="A15" s="106" t="s">
        <v>299</v>
      </c>
      <c r="B15" s="10">
        <v>6.0000000000000001E-3</v>
      </c>
      <c r="C15" s="19">
        <v>-1.4999999999999999E-2</v>
      </c>
      <c r="D15">
        <v>-1.7000000000000001E-2</v>
      </c>
      <c r="E15" s="10">
        <v>-0.02</v>
      </c>
      <c r="F15" s="15">
        <v>-0.03</v>
      </c>
      <c r="G15" s="15">
        <v>-3.3000000000000002E-2</v>
      </c>
      <c r="H15" s="15">
        <v>-3.6999999999999998E-2</v>
      </c>
      <c r="I15" s="10">
        <v>-5.5E-2</v>
      </c>
      <c r="J15" s="15">
        <v>-0.06</v>
      </c>
      <c r="K15">
        <v>-0.09</v>
      </c>
      <c r="L15">
        <v>-9.5000000000000001E-2</v>
      </c>
      <c r="M15" s="15">
        <v>-9.8000000000000004E-2</v>
      </c>
      <c r="N15" s="176">
        <f>N11</f>
        <v>0.02</v>
      </c>
      <c r="O15" s="15">
        <v>-0.15</v>
      </c>
    </row>
    <row r="16" spans="1:15" ht="29" x14ac:dyDescent="0.35">
      <c r="A16" s="173" t="s">
        <v>593</v>
      </c>
      <c r="B16" s="19"/>
      <c r="C16" s="15"/>
      <c r="D16" s="15"/>
      <c r="E16" s="15"/>
      <c r="F16" s="15"/>
      <c r="G16" s="15"/>
      <c r="H16" s="15"/>
      <c r="I16" s="10"/>
      <c r="J16" s="10"/>
      <c r="K16" s="10"/>
    </row>
    <row r="17" spans="1:11" x14ac:dyDescent="0.35">
      <c r="A17" s="106"/>
      <c r="B17" s="19"/>
      <c r="C17" s="15"/>
      <c r="D17" s="15"/>
      <c r="E17" s="15"/>
      <c r="F17" s="15"/>
      <c r="G17" s="15"/>
      <c r="H17" s="15"/>
      <c r="I17" s="10"/>
      <c r="J17" s="10"/>
      <c r="K17" s="10"/>
    </row>
    <row r="18" spans="1:11" x14ac:dyDescent="0.35">
      <c r="A18" s="106"/>
      <c r="B18" s="19"/>
      <c r="C18" s="15"/>
      <c r="D18" s="15"/>
      <c r="E18" s="15"/>
      <c r="F18" s="15"/>
      <c r="G18" s="15"/>
      <c r="H18" s="15"/>
      <c r="I18" s="10"/>
      <c r="J18" s="10"/>
      <c r="K18" s="10"/>
    </row>
    <row r="19" spans="1:11" x14ac:dyDescent="0.35">
      <c r="A19" s="106"/>
      <c r="B19" s="106"/>
      <c r="C19" s="106"/>
      <c r="D19" s="106"/>
      <c r="E19" s="106"/>
      <c r="F19" s="106"/>
      <c r="G19" s="106"/>
      <c r="H19" s="106"/>
      <c r="I19" s="106"/>
      <c r="J19" s="106"/>
      <c r="K19" s="106"/>
    </row>
    <row r="20" spans="1:11" x14ac:dyDescent="0.35">
      <c r="A20" s="106"/>
      <c r="B20" s="19"/>
      <c r="C20" s="15"/>
      <c r="D20" s="15"/>
      <c r="E20" s="15"/>
      <c r="F20" s="15"/>
      <c r="G20" s="15"/>
      <c r="H20" s="15"/>
      <c r="I20" s="10"/>
      <c r="J20" s="10"/>
      <c r="K20" s="10"/>
    </row>
    <row r="21" spans="1:11" x14ac:dyDescent="0.35">
      <c r="A21" s="106"/>
      <c r="B21" s="19"/>
      <c r="C21" s="15"/>
      <c r="D21" s="15"/>
      <c r="E21" s="15"/>
      <c r="F21" s="15"/>
      <c r="G21" s="15"/>
      <c r="H21" s="15"/>
      <c r="I21" s="10"/>
      <c r="J21" s="10"/>
      <c r="K21" s="10"/>
    </row>
    <row r="22" spans="1:11" x14ac:dyDescent="0.35">
      <c r="A22" s="106"/>
      <c r="B22" s="19"/>
      <c r="C22" s="15"/>
      <c r="D22" s="15"/>
      <c r="E22" s="15"/>
      <c r="F22" s="15"/>
      <c r="G22" s="15"/>
      <c r="H22" s="15"/>
      <c r="I22" s="10"/>
      <c r="J22" s="10"/>
      <c r="K22" s="10"/>
    </row>
    <row r="23" spans="1:11" x14ac:dyDescent="0.35">
      <c r="A23" s="106"/>
      <c r="B23" s="19"/>
      <c r="C23" s="15"/>
      <c r="D23" s="15"/>
      <c r="E23" s="15"/>
      <c r="F23" s="15"/>
      <c r="G23" s="15"/>
      <c r="H23" s="15"/>
      <c r="I23" s="10"/>
      <c r="J23" s="10"/>
      <c r="K23" s="10"/>
    </row>
    <row r="24" spans="1:11" x14ac:dyDescent="0.35">
      <c r="A24" s="106"/>
      <c r="B24" s="19"/>
      <c r="C24" s="15"/>
      <c r="D24" s="15"/>
      <c r="E24" s="15"/>
      <c r="F24" s="15"/>
      <c r="G24" s="15"/>
      <c r="H24" s="15"/>
      <c r="I24" s="10"/>
      <c r="J24" s="10"/>
      <c r="K24" s="10"/>
    </row>
    <row r="25" spans="1:11" x14ac:dyDescent="0.35">
      <c r="A25" s="106"/>
      <c r="B25" s="106"/>
      <c r="C25" s="106" t="s">
        <v>298</v>
      </c>
      <c r="D25" s="106" t="s">
        <v>299</v>
      </c>
      <c r="E25" s="15"/>
      <c r="F25" s="15"/>
      <c r="G25" s="15"/>
      <c r="H25" s="15"/>
      <c r="I25" s="10"/>
      <c r="J25" s="10"/>
      <c r="K25" s="10"/>
    </row>
    <row r="26" spans="1:11" x14ac:dyDescent="0.35">
      <c r="A26" s="106"/>
      <c r="B26" s="196" t="s">
        <v>471</v>
      </c>
      <c r="C26">
        <v>4.3999999999999997E-2</v>
      </c>
      <c r="D26" s="176">
        <v>0.02</v>
      </c>
      <c r="E26" s="15"/>
      <c r="F26" s="15"/>
      <c r="G26" s="15"/>
      <c r="H26" s="15"/>
      <c r="I26" s="10"/>
      <c r="J26" s="10"/>
      <c r="K26" s="10"/>
    </row>
    <row r="27" spans="1:11" x14ac:dyDescent="0.35">
      <c r="A27" s="106"/>
      <c r="B27" s="195" t="s">
        <v>493</v>
      </c>
      <c r="C27" s="10">
        <v>2.3E-2</v>
      </c>
      <c r="D27" s="10">
        <v>6.0000000000000001E-3</v>
      </c>
      <c r="E27" s="15"/>
      <c r="F27" s="15"/>
      <c r="G27" s="15"/>
      <c r="H27" s="15"/>
      <c r="I27" s="10"/>
      <c r="J27" s="10"/>
      <c r="K27" s="10"/>
    </row>
    <row r="28" spans="1:11" x14ac:dyDescent="0.35">
      <c r="A28" s="106"/>
      <c r="B28" s="184" t="s">
        <v>263</v>
      </c>
      <c r="C28" s="19">
        <v>0.02</v>
      </c>
      <c r="D28" s="19">
        <v>-1.4999999999999999E-2</v>
      </c>
      <c r="E28" s="15"/>
      <c r="F28" s="15"/>
      <c r="G28" s="15"/>
      <c r="H28" s="15"/>
      <c r="I28" s="10"/>
      <c r="J28" s="10"/>
      <c r="K28" s="10"/>
    </row>
    <row r="29" spans="1:11" x14ac:dyDescent="0.35">
      <c r="A29" s="106"/>
      <c r="B29" s="196" t="s">
        <v>494</v>
      </c>
      <c r="C29">
        <v>1E-3</v>
      </c>
      <c r="D29">
        <v>-1.7000000000000001E-2</v>
      </c>
      <c r="E29" s="15"/>
      <c r="F29" s="15"/>
      <c r="G29" s="15"/>
      <c r="H29" s="15"/>
      <c r="I29" s="10"/>
      <c r="J29" s="10"/>
      <c r="K29" s="10"/>
    </row>
    <row r="30" spans="1:11" x14ac:dyDescent="0.35">
      <c r="A30" s="106"/>
      <c r="B30" s="195" t="s">
        <v>511</v>
      </c>
      <c r="C30" s="10">
        <v>2.5000000000000001E-2</v>
      </c>
      <c r="D30" s="10">
        <v>-0.02</v>
      </c>
      <c r="E30" s="15"/>
      <c r="F30" s="15"/>
      <c r="G30" s="15"/>
      <c r="H30" s="15"/>
      <c r="I30" s="10"/>
      <c r="J30" s="10"/>
      <c r="K30" s="10"/>
    </row>
    <row r="31" spans="1:11" x14ac:dyDescent="0.35">
      <c r="A31" s="106"/>
      <c r="B31" s="184" t="s">
        <v>266</v>
      </c>
      <c r="C31" s="15">
        <v>0.03</v>
      </c>
      <c r="D31" s="15">
        <v>-0.03</v>
      </c>
      <c r="E31" s="15"/>
      <c r="F31" s="15"/>
      <c r="G31" s="15"/>
      <c r="H31" s="15"/>
      <c r="I31" s="10"/>
      <c r="J31" s="10"/>
      <c r="K31" s="10"/>
    </row>
    <row r="32" spans="1:11" x14ac:dyDescent="0.35">
      <c r="A32" s="106"/>
      <c r="B32" s="184" t="s">
        <v>269</v>
      </c>
      <c r="C32" s="15">
        <v>4.9000000000000002E-2</v>
      </c>
      <c r="D32" s="15">
        <v>-3.3000000000000002E-2</v>
      </c>
      <c r="E32" s="15"/>
      <c r="F32" s="15"/>
      <c r="G32" s="15"/>
      <c r="H32" s="15"/>
      <c r="I32" s="10"/>
      <c r="J32" s="10"/>
      <c r="K32" s="10"/>
    </row>
    <row r="33" spans="1:11" x14ac:dyDescent="0.35">
      <c r="A33" s="106"/>
      <c r="B33" s="184" t="s">
        <v>512</v>
      </c>
      <c r="C33" s="15">
        <v>7.1999999999999995E-2</v>
      </c>
      <c r="D33" s="15">
        <v>-3.6999999999999998E-2</v>
      </c>
      <c r="E33" s="15"/>
      <c r="F33" s="15"/>
      <c r="G33" s="15"/>
      <c r="H33" s="15"/>
      <c r="I33" s="10"/>
      <c r="J33" s="10"/>
      <c r="K33" s="10"/>
    </row>
    <row r="34" spans="1:11" x14ac:dyDescent="0.35">
      <c r="A34" s="106"/>
      <c r="B34" s="195" t="s">
        <v>526</v>
      </c>
      <c r="C34" s="10">
        <v>2.1999999999999999E-2</v>
      </c>
      <c r="D34" s="10">
        <v>-5.5E-2</v>
      </c>
      <c r="E34" s="15"/>
      <c r="F34" s="15"/>
      <c r="G34" s="15"/>
      <c r="H34" s="15"/>
      <c r="I34" s="10"/>
      <c r="J34" s="10"/>
      <c r="K34" s="10"/>
    </row>
    <row r="35" spans="1:11" x14ac:dyDescent="0.35">
      <c r="A35" s="106"/>
      <c r="B35" s="184" t="s">
        <v>55</v>
      </c>
      <c r="C35" s="15">
        <v>2.3E-2</v>
      </c>
      <c r="D35" s="15">
        <v>-0.06</v>
      </c>
      <c r="E35" s="15"/>
      <c r="F35" s="15"/>
      <c r="G35" s="15"/>
      <c r="H35" s="15"/>
      <c r="I35" s="10"/>
      <c r="J35" s="10"/>
      <c r="K35" s="10"/>
    </row>
    <row r="36" spans="1:11" x14ac:dyDescent="0.35">
      <c r="A36" s="106"/>
      <c r="B36" s="196" t="s">
        <v>499</v>
      </c>
      <c r="C36">
        <v>4.4999999999999998E-2</v>
      </c>
      <c r="D36">
        <v>-0.09</v>
      </c>
      <c r="E36" s="15"/>
      <c r="F36" s="15"/>
      <c r="G36" s="15"/>
      <c r="H36" s="15"/>
      <c r="I36" s="10"/>
      <c r="J36" s="10"/>
      <c r="K36" s="10"/>
    </row>
    <row r="37" spans="1:11" x14ac:dyDescent="0.35">
      <c r="A37" s="106"/>
      <c r="B37" s="196" t="s">
        <v>495</v>
      </c>
      <c r="C37">
        <v>0.01</v>
      </c>
      <c r="D37">
        <v>-9.5000000000000001E-2</v>
      </c>
      <c r="E37" s="15"/>
      <c r="F37" s="15"/>
      <c r="G37" s="15"/>
      <c r="H37" s="15"/>
      <c r="I37" s="10"/>
      <c r="J37" s="10"/>
      <c r="K37" s="10"/>
    </row>
    <row r="38" spans="1:11" x14ac:dyDescent="0.35">
      <c r="B38" s="184" t="s">
        <v>265</v>
      </c>
      <c r="C38" s="15">
        <v>3.7999999999999999E-2</v>
      </c>
      <c r="D38" s="15">
        <v>-9.8000000000000004E-2</v>
      </c>
    </row>
    <row r="39" spans="1:11" x14ac:dyDescent="0.35">
      <c r="B39" s="184" t="s">
        <v>264</v>
      </c>
      <c r="C39" s="15">
        <v>0.03</v>
      </c>
      <c r="D39" s="15">
        <v>-0.15</v>
      </c>
    </row>
  </sheetData>
  <sortState xmlns:xlrd2="http://schemas.microsoft.com/office/spreadsheetml/2017/richdata2" ref="B26:D39">
    <sortCondition descending="1" ref="D26:D39"/>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B73"/>
  <sheetViews>
    <sheetView zoomScale="80" zoomScaleNormal="80" workbookViewId="0"/>
  </sheetViews>
  <sheetFormatPr defaultRowHeight="14.5" x14ac:dyDescent="0.35"/>
  <cols>
    <col min="1" max="1" width="56.7265625" style="106" customWidth="1"/>
    <col min="2" max="2" width="119.453125" customWidth="1"/>
  </cols>
  <sheetData>
    <row r="1" spans="1:2" x14ac:dyDescent="0.35">
      <c r="A1" s="328" t="str">
        <f>Overview!A1</f>
        <v>CATEGORY</v>
      </c>
      <c r="B1" s="328" t="s">
        <v>978</v>
      </c>
    </row>
    <row r="2" spans="1:2" x14ac:dyDescent="0.35">
      <c r="A2" s="109" t="str">
        <f>Overview!A2</f>
        <v>A. BACKGROUND INFORMATION</v>
      </c>
      <c r="B2" s="109"/>
    </row>
    <row r="3" spans="1:2" x14ac:dyDescent="0.35">
      <c r="A3" s="104" t="str">
        <f>Overview!A3</f>
        <v>Population (2019)</v>
      </c>
      <c r="B3" t="s">
        <v>979</v>
      </c>
    </row>
    <row r="4" spans="1:2" x14ac:dyDescent="0.35">
      <c r="A4" s="104" t="str">
        <f>Overview!A4</f>
        <v>GDP (2019) - in 2019 million USD</v>
      </c>
      <c r="B4" t="s">
        <v>980</v>
      </c>
    </row>
    <row r="5" spans="1:2" x14ac:dyDescent="0.35">
      <c r="A5" s="104" t="str">
        <f>Overview!A5</f>
        <v>GDP per capita (2019)</v>
      </c>
      <c r="B5" s="1" t="s">
        <v>981</v>
      </c>
    </row>
    <row r="6" spans="1:2" x14ac:dyDescent="0.35">
      <c r="A6" s="104" t="str">
        <f>Overview!A6</f>
        <v>Exchange rate (22July 2020) - LCU per USD</v>
      </c>
      <c r="B6" t="s">
        <v>982</v>
      </c>
    </row>
    <row r="7" spans="1:2" x14ac:dyDescent="0.35">
      <c r="A7" s="104" t="str">
        <f>Overview!A7</f>
        <v>Fiscal balance (LCU million, 2020, pre-pandemic)</v>
      </c>
      <c r="B7" t="s">
        <v>983</v>
      </c>
    </row>
    <row r="8" spans="1:2" x14ac:dyDescent="0.35">
      <c r="A8" s="104" t="str">
        <f>Overview!A8</f>
        <v>Fiscal balance ( % of GDP, 2020, pre-pandemic)</v>
      </c>
      <c r="B8" t="s">
        <v>989</v>
      </c>
    </row>
    <row r="9" spans="1:2" x14ac:dyDescent="0.35">
      <c r="A9" s="104" t="str">
        <f>Overview!A9</f>
        <v>Debt (% GDP) (pre-COVID)</v>
      </c>
      <c r="B9" t="s">
        <v>994</v>
      </c>
    </row>
    <row r="10" spans="1:2" x14ac:dyDescent="0.35">
      <c r="A10" s="104" t="str">
        <f>Overview!A10</f>
        <v>Local currency unit (LCU)</v>
      </c>
      <c r="B10" t="s">
        <v>984</v>
      </c>
    </row>
    <row r="11" spans="1:2" x14ac:dyDescent="0.35">
      <c r="A11" s="104" t="str">
        <f>Overview!A11</f>
        <v>Fiscal year</v>
      </c>
      <c r="B11" t="s">
        <v>1039</v>
      </c>
    </row>
    <row r="12" spans="1:2" x14ac:dyDescent="0.35">
      <c r="A12" s="104" t="str">
        <f>Overview!A12</f>
        <v>Announcement month</v>
      </c>
      <c r="B12" t="s">
        <v>1076</v>
      </c>
    </row>
    <row r="13" spans="1:2" x14ac:dyDescent="0.35">
      <c r="A13" s="109" t="str">
        <f>Overview!A13</f>
        <v>B. ECONOMIC IMPACT</v>
      </c>
      <c r="B13" s="109" t="s">
        <v>993</v>
      </c>
    </row>
    <row r="14" spans="1:2" x14ac:dyDescent="0.35">
      <c r="A14" s="104" t="str">
        <f>Overview!A14</f>
        <v>Projected growth - pre-COVID</v>
      </c>
      <c r="B14" t="s">
        <v>986</v>
      </c>
    </row>
    <row r="15" spans="1:2" x14ac:dyDescent="0.35">
      <c r="A15" s="104" t="str">
        <f>Overview!A15</f>
        <v>Projected growth - post-COVID</v>
      </c>
      <c r="B15" t="s">
        <v>988</v>
      </c>
    </row>
    <row r="16" spans="1:2" x14ac:dyDescent="0.35">
      <c r="A16" s="104" t="str">
        <f>Overview!A16</f>
        <v>GDP (2020) - current prices (LCU million) - pre COVID</v>
      </c>
      <c r="B16" t="s">
        <v>985</v>
      </c>
    </row>
    <row r="17" spans="1:2" x14ac:dyDescent="0.35">
      <c r="A17" s="104" t="str">
        <f>Overview!A17</f>
        <v>GDP (2020) - current prices (LCU million)- post COVID</v>
      </c>
      <c r="B17" t="s">
        <v>987</v>
      </c>
    </row>
    <row r="18" spans="1:2" x14ac:dyDescent="0.35">
      <c r="A18" s="104" t="str">
        <f>Overview!A18</f>
        <v>Projected revenue - pre-COVID (in million LCU)</v>
      </c>
      <c r="B18" t="s">
        <v>990</v>
      </c>
    </row>
    <row r="19" spans="1:2" x14ac:dyDescent="0.35">
      <c r="A19" s="104" t="str">
        <f>Overview!A19</f>
        <v>Projected revenue - post-COVID (in million LCU)</v>
      </c>
      <c r="B19" t="s">
        <v>991</v>
      </c>
    </row>
    <row r="20" spans="1:2" x14ac:dyDescent="0.35">
      <c r="A20" s="104" t="str">
        <f>Overview!A20</f>
        <v>Fall in domestic revenue as % of domestic revenue</v>
      </c>
      <c r="B20" t="s">
        <v>992</v>
      </c>
    </row>
    <row r="21" spans="1:2" x14ac:dyDescent="0.35">
      <c r="A21" s="104" t="str">
        <f>Overview!A21</f>
        <v>Debt (% GDP) (post-COVID)</v>
      </c>
      <c r="B21" t="s">
        <v>995</v>
      </c>
    </row>
    <row r="22" spans="1:2" x14ac:dyDescent="0.35">
      <c r="A22" s="104" t="str">
        <f>Overview!A22</f>
        <v>Risk of external debt distress (pre-COVID)</v>
      </c>
      <c r="B22" t="s">
        <v>996</v>
      </c>
    </row>
    <row r="23" spans="1:2" x14ac:dyDescent="0.35">
      <c r="A23" s="104" t="str">
        <f>Overview!A23</f>
        <v>Risk of external debt distress (post-COVID)</v>
      </c>
      <c r="B23" t="s">
        <v>997</v>
      </c>
    </row>
    <row r="24" spans="1:2" x14ac:dyDescent="0.35">
      <c r="A24" s="109" t="str">
        <f>Overview!A24</f>
        <v>C. STIMULUS PACKAGE - OVERALL SIZE</v>
      </c>
      <c r="B24" s="109" t="s">
        <v>1038</v>
      </c>
    </row>
    <row r="25" spans="1:2" x14ac:dyDescent="0.35">
      <c r="A25" s="104" t="str">
        <f>Overview!A25</f>
        <v>Stimulus Package (in million LCU)</v>
      </c>
      <c r="B25" t="s">
        <v>998</v>
      </c>
    </row>
    <row r="26" spans="1:2" x14ac:dyDescent="0.35">
      <c r="A26" s="104" t="str">
        <f>Overview!A26</f>
        <v>Stimulus Package (in million USD)</v>
      </c>
      <c r="B26" t="s">
        <v>999</v>
      </c>
    </row>
    <row r="27" spans="1:2" x14ac:dyDescent="0.35">
      <c r="A27" s="104" t="str">
        <f>Overview!A27</f>
        <v>Stimulus Package (% GDP)</v>
      </c>
      <c r="B27" t="s">
        <v>1000</v>
      </c>
    </row>
    <row r="28" spans="1:2" x14ac:dyDescent="0.35">
      <c r="A28" s="105" t="str">
        <f>Overview!A28</f>
        <v>Stimulus per capita (USD per capita)</v>
      </c>
      <c r="B28" t="s">
        <v>1001</v>
      </c>
    </row>
    <row r="29" spans="1:2" x14ac:dyDescent="0.35">
      <c r="A29" s="117" t="str">
        <f>Overview!A29</f>
        <v>D. FISCAL POLICY</v>
      </c>
      <c r="B29" s="117" t="s">
        <v>1077</v>
      </c>
    </row>
    <row r="30" spans="1:2" x14ac:dyDescent="0.35">
      <c r="A30" s="108" t="str">
        <f>Overview!A30</f>
        <v>D1. TAX</v>
      </c>
      <c r="B30" s="108" t="s">
        <v>1002</v>
      </c>
    </row>
    <row r="31" spans="1:2" x14ac:dyDescent="0.35">
      <c r="A31" s="105" t="str">
        <f>Overview!A31</f>
        <v>Tax deadline extension</v>
      </c>
      <c r="B31" t="s">
        <v>1069</v>
      </c>
    </row>
    <row r="32" spans="1:2" x14ac:dyDescent="0.35">
      <c r="A32" s="105" t="str">
        <f>Overview!A32</f>
        <v>Priority processing of GST refunds</v>
      </c>
      <c r="B32" t="s">
        <v>1003</v>
      </c>
    </row>
    <row r="33" spans="1:2" x14ac:dyDescent="0.35">
      <c r="A33" s="105" t="str">
        <f>Overview!A33</f>
        <v>Tax cuts</v>
      </c>
      <c r="B33" t="s">
        <v>1004</v>
      </c>
    </row>
    <row r="34" spans="1:2" x14ac:dyDescent="0.35">
      <c r="A34" s="108" t="str">
        <f>Overview!A34</f>
        <v xml:space="preserve">D2. EXPENDITURE </v>
      </c>
      <c r="B34" s="108" t="s">
        <v>1015</v>
      </c>
    </row>
    <row r="35" spans="1:2" x14ac:dyDescent="0.35">
      <c r="A35" s="104" t="str">
        <f>Overview!A35</f>
        <v>Additional expenditure (in million LCU)</v>
      </c>
      <c r="B35" t="s">
        <v>1005</v>
      </c>
    </row>
    <row r="36" spans="1:2" x14ac:dyDescent="0.35">
      <c r="A36" s="104" t="str">
        <f>Overview!A36</f>
        <v>Unemployment/cash benefits</v>
      </c>
      <c r="B36" t="s">
        <v>1006</v>
      </c>
    </row>
    <row r="37" spans="1:2" x14ac:dyDescent="0.35">
      <c r="A37" s="104" t="str">
        <f>Overview!A37</f>
        <v>Expenditure (in million USD)</v>
      </c>
      <c r="B37" t="s">
        <v>1007</v>
      </c>
    </row>
    <row r="38" spans="1:2" x14ac:dyDescent="0.35">
      <c r="A38" s="135" t="str">
        <f>Overview!A38</f>
        <v>Health expenditure (in million USD)</v>
      </c>
      <c r="B38" t="s">
        <v>1008</v>
      </c>
    </row>
    <row r="39" spans="1:2" x14ac:dyDescent="0.35">
      <c r="A39" s="135" t="str">
        <f>Overview!A39</f>
        <v>Food security expenditure (in million USD)</v>
      </c>
      <c r="B39" t="s">
        <v>1009</v>
      </c>
    </row>
    <row r="40" spans="1:2" x14ac:dyDescent="0.35">
      <c r="A40" s="135" t="str">
        <f>Overview!A40</f>
        <v>Safety net expenditure (in million USD)</v>
      </c>
      <c r="B40" t="s">
        <v>1010</v>
      </c>
    </row>
    <row r="41" spans="1:2" x14ac:dyDescent="0.35">
      <c r="A41" s="135" t="str">
        <f>Overview!A41</f>
        <v>Business support expenditure (in million USD)</v>
      </c>
      <c r="B41" t="s">
        <v>1011</v>
      </c>
    </row>
    <row r="42" spans="1:2" x14ac:dyDescent="0.35">
      <c r="A42" s="135" t="str">
        <f>Overview!A42</f>
        <v>Infrastructure expenditure (in million USD)</v>
      </c>
      <c r="B42" t="s">
        <v>1012</v>
      </c>
    </row>
    <row r="43" spans="1:2" x14ac:dyDescent="0.35">
      <c r="A43" s="104" t="str">
        <f>Overview!A43</f>
        <v>Expenditure (% GDP)</v>
      </c>
      <c r="B43" t="s">
        <v>1013</v>
      </c>
    </row>
    <row r="44" spans="1:2" x14ac:dyDescent="0.35">
      <c r="A44" s="104" t="str">
        <f>Overview!A44</f>
        <v>Expenditure per capita (USD per capita)</v>
      </c>
      <c r="B44" t="s">
        <v>1014</v>
      </c>
    </row>
    <row r="45" spans="1:2" x14ac:dyDescent="0.35">
      <c r="A45" s="108" t="str">
        <f>Overview!A45</f>
        <v>D3. FINANCING</v>
      </c>
      <c r="B45" s="108" t="s">
        <v>1081</v>
      </c>
    </row>
    <row r="46" spans="1:2" x14ac:dyDescent="0.35">
      <c r="A46" s="104" t="str">
        <f>Overview!A46</f>
        <v>Additional borrowing (in million LCU)</v>
      </c>
      <c r="B46" t="s">
        <v>1016</v>
      </c>
    </row>
    <row r="47" spans="1:2" x14ac:dyDescent="0.35">
      <c r="A47" s="104" t="str">
        <f>Overview!A47</f>
        <v>Projected deficit (in million LCU)</v>
      </c>
      <c r="B47" t="s">
        <v>1017</v>
      </c>
    </row>
    <row r="48" spans="1:2" x14ac:dyDescent="0.35">
      <c r="A48" s="104" t="str">
        <f>Overview!A48</f>
        <v>Fiscal balance (%GDP)</v>
      </c>
      <c r="B48" t="s">
        <v>1018</v>
      </c>
    </row>
    <row r="49" spans="1:2" x14ac:dyDescent="0.35">
      <c r="A49" s="109" t="str">
        <f>Overview!A49</f>
        <v>E.  SUPERANNUATION MEASURES</v>
      </c>
      <c r="B49" s="109" t="s">
        <v>1078</v>
      </c>
    </row>
    <row r="50" spans="1:2" x14ac:dyDescent="0.35">
      <c r="A50" s="105" t="str">
        <f>Overview!A50</f>
        <v>Early access</v>
      </c>
      <c r="B50" t="s">
        <v>1019</v>
      </c>
    </row>
    <row r="51" spans="1:2" x14ac:dyDescent="0.35">
      <c r="A51" s="105" t="str">
        <f>Overview!A51</f>
        <v>Deferred contributions</v>
      </c>
      <c r="B51" t="s">
        <v>1020</v>
      </c>
    </row>
    <row r="52" spans="1:2" x14ac:dyDescent="0.35">
      <c r="A52" s="109" t="str">
        <f>Overview!A52</f>
        <v>F. BANK LENDING</v>
      </c>
      <c r="B52" s="109" t="s">
        <v>1079</v>
      </c>
    </row>
    <row r="53" spans="1:2" x14ac:dyDescent="0.35">
      <c r="A53" s="105" t="str">
        <f>Overview!A53</f>
        <v>Credit line</v>
      </c>
      <c r="B53" t="s">
        <v>1021</v>
      </c>
    </row>
    <row r="54" spans="1:2" x14ac:dyDescent="0.35">
      <c r="A54" s="105" t="str">
        <f>Overview!A54</f>
        <v>Loan repayment holiday</v>
      </c>
      <c r="B54" t="s">
        <v>1022</v>
      </c>
    </row>
    <row r="55" spans="1:2" x14ac:dyDescent="0.35">
      <c r="A55" s="109" t="str">
        <f>Overview!A55</f>
        <v>G. MONETARY POLICY</v>
      </c>
      <c r="B55" s="109" t="s">
        <v>1080</v>
      </c>
    </row>
    <row r="56" spans="1:2" x14ac:dyDescent="0.35">
      <c r="A56" s="104" t="str">
        <f>Overview!A56</f>
        <v>Monetary policy relaxed</v>
      </c>
      <c r="B56" t="s">
        <v>1023</v>
      </c>
    </row>
    <row r="57" spans="1:2" x14ac:dyDescent="0.35">
      <c r="A57" s="105" t="str">
        <f>Overview!A57</f>
        <v>Cash Reserves requirement lowered</v>
      </c>
      <c r="B57" t="s">
        <v>1024</v>
      </c>
    </row>
    <row r="58" spans="1:2" x14ac:dyDescent="0.35">
      <c r="A58" s="105" t="str">
        <f>Overview!A58</f>
        <v>Discount rate lowered</v>
      </c>
      <c r="B58" t="s">
        <v>1025</v>
      </c>
    </row>
    <row r="59" spans="1:2" x14ac:dyDescent="0.35">
      <c r="A59" s="105" t="str">
        <f>Overview!A59</f>
        <v>Open market purchases</v>
      </c>
      <c r="B59" t="s">
        <v>1026</v>
      </c>
    </row>
    <row r="60" spans="1:2" ht="29" x14ac:dyDescent="0.35">
      <c r="A60" s="117" t="str">
        <f>Overview!A60</f>
        <v>H. EXCHANGE RATE/RESERVES POLICY (depreciation/appreciation between 1 March 2020 and 22 July 2020)</v>
      </c>
      <c r="B60" s="117" t="s">
        <v>1027</v>
      </c>
    </row>
    <row r="61" spans="1:2" ht="29" x14ac:dyDescent="0.35">
      <c r="A61" s="117" t="str">
        <f>Overview!A61</f>
        <v>I. EXTERNAL ASSISTANCE from outbreak to 12 August 2020 (in million USD)</v>
      </c>
      <c r="B61" s="117" t="s">
        <v>1028</v>
      </c>
    </row>
    <row r="62" spans="1:2" ht="29" x14ac:dyDescent="0.35">
      <c r="A62" s="156" t="str">
        <f>Overview!A62</f>
        <v>External assistance assumed at the time of the stimulus package (in million LCU)</v>
      </c>
      <c r="B62" s="5" t="s">
        <v>1031</v>
      </c>
    </row>
    <row r="63" spans="1:2" x14ac:dyDescent="0.35">
      <c r="A63" s="104" t="str">
        <f>Overview!A63</f>
        <v>External assistance as % GDP</v>
      </c>
      <c r="B63" t="s">
        <v>1032</v>
      </c>
    </row>
    <row r="64" spans="1:2" x14ac:dyDescent="0.35">
      <c r="A64" s="105" t="str">
        <f>Overview!A64</f>
        <v>ADB (in million USD)</v>
      </c>
      <c r="B64" t="s">
        <v>1033</v>
      </c>
    </row>
    <row r="65" spans="1:2" x14ac:dyDescent="0.35">
      <c r="A65" s="105" t="str">
        <f>Overview!A65</f>
        <v>World Bank (in million USD)</v>
      </c>
      <c r="B65" t="s">
        <v>1034</v>
      </c>
    </row>
    <row r="66" spans="1:2" x14ac:dyDescent="0.35">
      <c r="A66" s="105" t="str">
        <f>Overview!A66</f>
        <v>IMF (in million USD)</v>
      </c>
      <c r="B66" t="s">
        <v>1035</v>
      </c>
    </row>
    <row r="67" spans="1:2" x14ac:dyDescent="0.35">
      <c r="A67" s="105" t="str">
        <f>Overview!A67</f>
        <v>Assistance from Australia (in million USD)</v>
      </c>
      <c r="B67" s="8" t="s">
        <v>1036</v>
      </c>
    </row>
    <row r="68" spans="1:2" ht="29" x14ac:dyDescent="0.35">
      <c r="A68" s="105" t="str">
        <f>Overview!A68</f>
        <v>Assistance from other countries and organisations (in million USD)</v>
      </c>
      <c r="B68" s="8" t="s">
        <v>1037</v>
      </c>
    </row>
    <row r="69" spans="1:2" x14ac:dyDescent="0.35">
      <c r="A69" s="105"/>
    </row>
    <row r="70" spans="1:2" x14ac:dyDescent="0.35">
      <c r="A70" s="79"/>
    </row>
    <row r="71" spans="1:2" x14ac:dyDescent="0.35">
      <c r="A71" s="107"/>
    </row>
    <row r="73" spans="1:2" x14ac:dyDescent="0.35">
      <c r="A73" s="13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2:BI60"/>
  <sheetViews>
    <sheetView topLeftCell="A13" workbookViewId="0">
      <selection activeCell="H40" sqref="H40"/>
    </sheetView>
  </sheetViews>
  <sheetFormatPr defaultRowHeight="14.5" x14ac:dyDescent="0.35"/>
  <cols>
    <col min="1" max="1" width="62.54296875" bestFit="1" customWidth="1"/>
  </cols>
  <sheetData>
    <row r="2" spans="1:61" ht="21" x14ac:dyDescent="0.5">
      <c r="A2" s="148" t="s">
        <v>398</v>
      </c>
      <c r="B2" s="19"/>
      <c r="C2" s="15"/>
      <c r="D2" s="15"/>
      <c r="E2" s="15"/>
      <c r="F2" s="15"/>
      <c r="G2" s="15"/>
      <c r="H2" s="15"/>
      <c r="I2" s="10"/>
      <c r="J2" s="10"/>
      <c r="K2" s="10"/>
    </row>
    <row r="3" spans="1:61" x14ac:dyDescent="0.35">
      <c r="A3" s="106"/>
      <c r="B3" s="142" t="s">
        <v>330</v>
      </c>
      <c r="C3" s="143" t="s">
        <v>331</v>
      </c>
      <c r="D3" s="143" t="s">
        <v>332</v>
      </c>
      <c r="E3" s="143" t="s">
        <v>333</v>
      </c>
      <c r="F3" s="143" t="s">
        <v>334</v>
      </c>
      <c r="G3" s="143" t="s">
        <v>335</v>
      </c>
      <c r="H3" s="143" t="s">
        <v>336</v>
      </c>
      <c r="I3" s="217" t="s">
        <v>337</v>
      </c>
      <c r="J3" s="217" t="s">
        <v>338</v>
      </c>
      <c r="K3" s="217" t="s">
        <v>339</v>
      </c>
      <c r="L3" s="107" t="s">
        <v>340</v>
      </c>
      <c r="M3" s="107" t="s">
        <v>341</v>
      </c>
      <c r="N3" s="107" t="s">
        <v>342</v>
      </c>
      <c r="O3" s="107" t="s">
        <v>343</v>
      </c>
      <c r="P3" s="107" t="s">
        <v>344</v>
      </c>
      <c r="Q3" s="107" t="s">
        <v>345</v>
      </c>
      <c r="R3" s="107" t="s">
        <v>346</v>
      </c>
      <c r="S3" s="107" t="s">
        <v>347</v>
      </c>
      <c r="T3" s="107" t="s">
        <v>348</v>
      </c>
      <c r="U3" s="107" t="s">
        <v>349</v>
      </c>
      <c r="V3" s="107" t="s">
        <v>350</v>
      </c>
      <c r="W3" s="107" t="s">
        <v>351</v>
      </c>
      <c r="X3" s="107" t="s">
        <v>352</v>
      </c>
      <c r="Y3" s="107" t="s">
        <v>353</v>
      </c>
      <c r="Z3" s="107" t="s">
        <v>354</v>
      </c>
      <c r="AA3" s="107" t="s">
        <v>355</v>
      </c>
      <c r="AB3" s="107" t="s">
        <v>356</v>
      </c>
      <c r="AC3" s="107" t="s">
        <v>357</v>
      </c>
      <c r="AD3" s="107" t="s">
        <v>358</v>
      </c>
      <c r="AE3" s="107" t="s">
        <v>359</v>
      </c>
      <c r="AF3" s="107" t="s">
        <v>360</v>
      </c>
      <c r="AG3" s="107" t="s">
        <v>361</v>
      </c>
      <c r="AH3" s="107" t="s">
        <v>362</v>
      </c>
      <c r="AI3" s="107" t="s">
        <v>363</v>
      </c>
      <c r="AJ3" s="107" t="s">
        <v>364</v>
      </c>
      <c r="AK3" s="107" t="s">
        <v>365</v>
      </c>
      <c r="AL3" s="107" t="s">
        <v>366</v>
      </c>
      <c r="AM3" s="107" t="s">
        <v>367</v>
      </c>
      <c r="AN3" s="107" t="s">
        <v>368</v>
      </c>
      <c r="AO3" s="107" t="s">
        <v>369</v>
      </c>
      <c r="AP3" s="107" t="s">
        <v>370</v>
      </c>
      <c r="AQ3" s="107" t="s">
        <v>371</v>
      </c>
      <c r="AR3" s="107" t="s">
        <v>372</v>
      </c>
      <c r="AS3" s="107" t="s">
        <v>373</v>
      </c>
      <c r="AT3" s="107" t="s">
        <v>374</v>
      </c>
      <c r="AU3" s="107" t="s">
        <v>375</v>
      </c>
      <c r="AV3" s="107" t="s">
        <v>376</v>
      </c>
      <c r="AW3" s="107" t="s">
        <v>377</v>
      </c>
      <c r="AX3" s="107" t="s">
        <v>378</v>
      </c>
      <c r="AY3" s="107" t="s">
        <v>379</v>
      </c>
      <c r="AZ3" s="107" t="s">
        <v>380</v>
      </c>
      <c r="BA3" s="107" t="s">
        <v>381</v>
      </c>
      <c r="BB3" s="107" t="s">
        <v>382</v>
      </c>
      <c r="BC3" s="107" t="s">
        <v>383</v>
      </c>
      <c r="BD3" s="107" t="s">
        <v>384</v>
      </c>
      <c r="BE3" s="107" t="s">
        <v>385</v>
      </c>
      <c r="BF3" s="107" t="s">
        <v>386</v>
      </c>
      <c r="BG3" s="107" t="s">
        <v>387</v>
      </c>
      <c r="BH3" s="107" t="s">
        <v>388</v>
      </c>
      <c r="BI3" s="107" t="s">
        <v>389</v>
      </c>
    </row>
    <row r="4" spans="1:61" x14ac:dyDescent="0.35">
      <c r="A4" s="106" t="s">
        <v>396</v>
      </c>
      <c r="B4" s="15">
        <v>1283.1966334894767</v>
      </c>
      <c r="C4" s="15">
        <v>1354.0998280109288</v>
      </c>
      <c r="D4" s="15">
        <v>1419.1646901463357</v>
      </c>
      <c r="E4" s="15">
        <v>1494.0008778442677</v>
      </c>
      <c r="F4" s="10">
        <v>1614.7675946646416</v>
      </c>
      <c r="G4" s="10">
        <v>1681.3130085677824</v>
      </c>
      <c r="H4" s="10">
        <v>1785.4259327206794</v>
      </c>
      <c r="I4">
        <v>1891.6302780869637</v>
      </c>
      <c r="J4">
        <v>2038.7004813193648</v>
      </c>
      <c r="K4">
        <v>2216.0642243613543</v>
      </c>
      <c r="L4">
        <v>2227.3537901262894</v>
      </c>
      <c r="M4">
        <v>2282.2767065847679</v>
      </c>
      <c r="N4">
        <v>2394.7582902011427</v>
      </c>
      <c r="O4">
        <v>2523.3029167446766</v>
      </c>
      <c r="P4">
        <v>2484.1454943013441</v>
      </c>
      <c r="Q4">
        <v>2520.5662287459627</v>
      </c>
      <c r="R4">
        <v>2583.2465103338518</v>
      </c>
      <c r="S4">
        <v>2672.0183812918131</v>
      </c>
      <c r="T4">
        <v>2779.5129719026013</v>
      </c>
      <c r="U4">
        <v>2896.8772685561494</v>
      </c>
      <c r="V4">
        <v>2957.0610955086131</v>
      </c>
      <c r="W4">
        <v>3046.1667701611354</v>
      </c>
      <c r="X4">
        <v>3114.7633401515691</v>
      </c>
      <c r="Y4">
        <v>3190.8539468074259</v>
      </c>
      <c r="Z4">
        <v>3324.4050935425739</v>
      </c>
      <c r="AA4">
        <v>3454.7649874179056</v>
      </c>
      <c r="AB4">
        <v>3555.742564843968</v>
      </c>
      <c r="AC4">
        <v>3704.1087443076799</v>
      </c>
      <c r="AD4">
        <v>3915.572083856875</v>
      </c>
      <c r="AE4">
        <v>4051.8339672075736</v>
      </c>
      <c r="AF4">
        <v>4195.2103998588982</v>
      </c>
      <c r="AG4">
        <v>4320.8889071785552</v>
      </c>
      <c r="AH4">
        <v>4410.6578511386115</v>
      </c>
      <c r="AI4">
        <v>4493.550853654936</v>
      </c>
      <c r="AJ4">
        <v>4630.2856061876091</v>
      </c>
      <c r="AK4">
        <v>4809.3641709586364</v>
      </c>
      <c r="AL4">
        <v>4996.5393191230942</v>
      </c>
      <c r="AM4">
        <v>5112.4603402796956</v>
      </c>
      <c r="AN4">
        <v>5053.664355388335</v>
      </c>
      <c r="AO4">
        <v>5154.6281190488226</v>
      </c>
      <c r="AP4">
        <v>5357.0034648912952</v>
      </c>
      <c r="AQ4">
        <v>5452.540161468195</v>
      </c>
      <c r="AR4">
        <v>5603.127291978436</v>
      </c>
      <c r="AS4">
        <v>5796.7452277011607</v>
      </c>
      <c r="AT4">
        <v>6051.3200824453252</v>
      </c>
      <c r="AU4">
        <v>6311.0993100947098</v>
      </c>
      <c r="AV4">
        <v>6612.4905470646772</v>
      </c>
      <c r="AW4">
        <v>6992.0448304194051</v>
      </c>
      <c r="AX4">
        <v>7188.3239899155988</v>
      </c>
      <c r="AY4">
        <v>7238.3143759928535</v>
      </c>
      <c r="AZ4">
        <v>7697.9928046449559</v>
      </c>
      <c r="BA4">
        <v>7999.3031644515277</v>
      </c>
      <c r="BB4">
        <v>8318.0940129273768</v>
      </c>
      <c r="BC4">
        <v>8655.923894496751</v>
      </c>
      <c r="BD4">
        <v>8957.2035363324612</v>
      </c>
      <c r="BE4">
        <v>9270.529422189109</v>
      </c>
      <c r="BF4">
        <v>9584.2028994561006</v>
      </c>
      <c r="BG4">
        <v>9972.6468077636691</v>
      </c>
      <c r="BH4">
        <v>10325.855885012601</v>
      </c>
      <c r="BI4">
        <v>10657.279394341293</v>
      </c>
    </row>
    <row r="5" spans="1:61" x14ac:dyDescent="0.35">
      <c r="A5" s="106" t="s">
        <v>390</v>
      </c>
      <c r="B5" s="15">
        <v>1012.4411870377929</v>
      </c>
      <c r="C5" s="15">
        <v>1055.7397492372613</v>
      </c>
      <c r="D5" s="15">
        <v>1102.2592121230398</v>
      </c>
      <c r="E5" s="15">
        <v>1125.2276285093626</v>
      </c>
      <c r="F5" s="10">
        <v>1197.4340398601194</v>
      </c>
      <c r="G5" s="10">
        <v>1293.185263579207</v>
      </c>
      <c r="H5" s="10">
        <v>1339.1452094495289</v>
      </c>
      <c r="I5">
        <v>1362.9856327302409</v>
      </c>
      <c r="J5">
        <v>1390.3813300729721</v>
      </c>
      <c r="K5">
        <v>1470.9857964400474</v>
      </c>
      <c r="L5">
        <v>1592.806135498148</v>
      </c>
      <c r="M5">
        <v>1653.6176261901926</v>
      </c>
      <c r="N5">
        <v>1705.8689210097034</v>
      </c>
      <c r="O5">
        <v>1774.0477192308092</v>
      </c>
      <c r="P5">
        <v>1776.4727872511125</v>
      </c>
      <c r="Q5">
        <v>1717.7195693623155</v>
      </c>
      <c r="R5">
        <v>1618.3429224229217</v>
      </c>
      <c r="S5">
        <v>1590.9390901470242</v>
      </c>
      <c r="T5">
        <v>1683.1410823286999</v>
      </c>
      <c r="U5">
        <v>1669.8867923263026</v>
      </c>
      <c r="V5">
        <v>1588.8889158680345</v>
      </c>
      <c r="W5">
        <v>1542.6644198852421</v>
      </c>
      <c r="X5">
        <v>1506.8730371398019</v>
      </c>
      <c r="Y5">
        <v>1514.0562813762426</v>
      </c>
      <c r="Z5">
        <v>1469.0464214211881</v>
      </c>
      <c r="AA5">
        <v>1488.4746274394208</v>
      </c>
      <c r="AB5">
        <v>1519.0711406524438</v>
      </c>
      <c r="AC5">
        <v>1522.5826431769092</v>
      </c>
      <c r="AD5">
        <v>1528.8538721070245</v>
      </c>
      <c r="AE5">
        <v>1471.1464199728925</v>
      </c>
      <c r="AF5">
        <v>1393.1862638525122</v>
      </c>
      <c r="AG5">
        <v>1490.7603468042687</v>
      </c>
      <c r="AH5">
        <v>1658.3786024482392</v>
      </c>
      <c r="AI5">
        <v>1915.5496415544901</v>
      </c>
      <c r="AJ5">
        <v>1982.6581154147659</v>
      </c>
      <c r="AK5">
        <v>1872.1181099446619</v>
      </c>
      <c r="AL5">
        <v>1968.6307152731338</v>
      </c>
      <c r="AM5">
        <v>1845.7839837159447</v>
      </c>
      <c r="AN5">
        <v>1733.216430093592</v>
      </c>
      <c r="AO5">
        <v>1723.8694558638103</v>
      </c>
      <c r="AP5">
        <v>1643.0841264353348</v>
      </c>
      <c r="AQ5">
        <v>1606.1955032664678</v>
      </c>
      <c r="AR5">
        <v>1571.039332891741</v>
      </c>
      <c r="AS5">
        <v>1572.8630745252417</v>
      </c>
      <c r="AT5">
        <v>1582.3882633710166</v>
      </c>
      <c r="AU5">
        <v>1646.3439867966058</v>
      </c>
      <c r="AV5">
        <v>1695.727314484715</v>
      </c>
      <c r="AW5">
        <v>1784.8529803440806</v>
      </c>
      <c r="AX5">
        <v>1736.7863059894123</v>
      </c>
      <c r="AY5">
        <v>1811.1304003161988</v>
      </c>
      <c r="AZ5">
        <v>1949.3525183856134</v>
      </c>
      <c r="BA5">
        <v>1928.2926798496835</v>
      </c>
      <c r="BB5">
        <v>1976.0987828259435</v>
      </c>
      <c r="BC5">
        <v>2010.22586303053</v>
      </c>
      <c r="BD5">
        <v>2237.0038600733401</v>
      </c>
      <c r="BE5">
        <v>2400.503936353171</v>
      </c>
      <c r="BF5">
        <v>2448.8612487354026</v>
      </c>
      <c r="BG5">
        <v>2485.5292656727001</v>
      </c>
      <c r="BH5">
        <v>2418.5410514426085</v>
      </c>
      <c r="BI5">
        <v>2505.1314689275832</v>
      </c>
    </row>
    <row r="6" spans="1:61" x14ac:dyDescent="0.35">
      <c r="A6" s="106" t="s">
        <v>397</v>
      </c>
      <c r="B6" s="15"/>
      <c r="C6" s="15"/>
      <c r="D6" s="15"/>
      <c r="E6" s="15"/>
      <c r="F6" s="10"/>
      <c r="G6" s="10"/>
      <c r="H6" s="10"/>
      <c r="W6">
        <v>2554.3432527824093</v>
      </c>
      <c r="X6">
        <v>2428.7178953467846</v>
      </c>
      <c r="Y6">
        <v>2357.7986109541648</v>
      </c>
      <c r="Z6">
        <v>2465.9908719482787</v>
      </c>
      <c r="AA6">
        <v>2364.0150391746251</v>
      </c>
      <c r="AB6">
        <v>2472.2685802239512</v>
      </c>
      <c r="AC6">
        <v>2345.842349569351</v>
      </c>
      <c r="AD6">
        <v>2336.7157401910181</v>
      </c>
      <c r="AE6">
        <v>2420.4251671820743</v>
      </c>
      <c r="AF6">
        <v>2485.6355518112896</v>
      </c>
      <c r="AG6">
        <v>2448.5032396731222</v>
      </c>
      <c r="AH6">
        <v>2532.7634454425593</v>
      </c>
      <c r="AI6">
        <v>2561.6146684038617</v>
      </c>
      <c r="AJ6">
        <v>2639.9404447139555</v>
      </c>
      <c r="AK6">
        <v>2697.69856305553</v>
      </c>
      <c r="AL6">
        <v>2737.2654110005333</v>
      </c>
      <c r="AM6">
        <v>2666.9583915767075</v>
      </c>
      <c r="AN6">
        <v>2688.316787629401</v>
      </c>
      <c r="AO6">
        <v>2786.022629157108</v>
      </c>
      <c r="AP6">
        <v>2734.5353700242645</v>
      </c>
      <c r="AQ6">
        <v>2737.4820070712549</v>
      </c>
      <c r="AR6">
        <v>2760.4323069508846</v>
      </c>
      <c r="AS6">
        <v>2785.421212259097</v>
      </c>
      <c r="AT6">
        <v>2862.5153702364332</v>
      </c>
      <c r="AU6">
        <v>2892.4163367077067</v>
      </c>
      <c r="AV6">
        <v>2928.2326967336344</v>
      </c>
      <c r="AW6">
        <v>2923.0779230263333</v>
      </c>
      <c r="AX6">
        <v>2935.4319232550911</v>
      </c>
      <c r="AY6">
        <v>2859.4249763909284</v>
      </c>
      <c r="AZ6">
        <v>2905.0225202869897</v>
      </c>
      <c r="BA6">
        <v>2980.3812194412649</v>
      </c>
      <c r="BB6">
        <v>2977.7994657010486</v>
      </c>
      <c r="BC6">
        <v>3028.0772999292935</v>
      </c>
      <c r="BD6">
        <v>3100.1655408169513</v>
      </c>
      <c r="BE6">
        <v>3184.9622068672943</v>
      </c>
      <c r="BF6">
        <v>3241.5305231840161</v>
      </c>
      <c r="BG6">
        <v>3320.6305241968057</v>
      </c>
      <c r="BH6">
        <v>3358.4991186217117</v>
      </c>
      <c r="BI6">
        <v>3369.8086139210641</v>
      </c>
    </row>
    <row r="7" spans="1:61" x14ac:dyDescent="0.35">
      <c r="A7" s="106" t="s">
        <v>328</v>
      </c>
      <c r="B7" s="19"/>
      <c r="C7" s="15"/>
      <c r="D7" s="15"/>
      <c r="E7" s="15"/>
      <c r="F7" s="15"/>
      <c r="G7" s="15"/>
      <c r="H7" s="15"/>
      <c r="I7" s="10"/>
      <c r="J7" s="10"/>
      <c r="K7" s="10"/>
      <c r="AP7" s="15">
        <v>640.81525235092806</v>
      </c>
      <c r="AQ7" s="15">
        <v>731.63541401812972</v>
      </c>
      <c r="AR7" s="15">
        <v>666.71981424075977</v>
      </c>
      <c r="AS7" s="15">
        <v>635.35894133513057</v>
      </c>
      <c r="AT7" s="10">
        <v>621.63278298626801</v>
      </c>
      <c r="AU7" s="10">
        <v>625.44271194232647</v>
      </c>
      <c r="AV7" s="10">
        <v>587.17326167657552</v>
      </c>
      <c r="AW7">
        <v>634.76285502767234</v>
      </c>
      <c r="AX7">
        <v>693.99161277682686</v>
      </c>
      <c r="AY7">
        <v>749.91847303344287</v>
      </c>
      <c r="AZ7">
        <v>806.40786170985973</v>
      </c>
      <c r="BA7">
        <v>838.18871218612503</v>
      </c>
      <c r="BB7">
        <v>873.0559975890485</v>
      </c>
      <c r="BC7">
        <v>875.9134745244337</v>
      </c>
      <c r="BD7">
        <v>898.5088439959784</v>
      </c>
      <c r="BE7">
        <v>908.96108965853307</v>
      </c>
      <c r="BF7">
        <v>923.4897882577975</v>
      </c>
      <c r="BG7">
        <v>871.27902583276307</v>
      </c>
      <c r="BH7">
        <v>847.63669898235241</v>
      </c>
      <c r="BI7">
        <v>859.53005356622953</v>
      </c>
    </row>
    <row r="8" spans="1:61" x14ac:dyDescent="0.35">
      <c r="A8" s="106" t="s">
        <v>403</v>
      </c>
      <c r="B8" s="19"/>
      <c r="C8" s="15"/>
      <c r="D8" s="15"/>
      <c r="E8" s="15"/>
      <c r="F8" s="15"/>
      <c r="G8" s="15"/>
      <c r="H8" s="15"/>
      <c r="I8" s="10"/>
      <c r="J8" s="10"/>
      <c r="K8" s="10"/>
      <c r="V8" s="19">
        <v>556.82612221457157</v>
      </c>
      <c r="W8" s="15">
        <v>580.06729371402264</v>
      </c>
      <c r="X8" s="15">
        <v>604.60258702258125</v>
      </c>
      <c r="Y8" s="15">
        <v>638.07867310460426</v>
      </c>
      <c r="Z8" s="15">
        <v>686.93894659931209</v>
      </c>
      <c r="AA8" s="15">
        <v>724.44477788117456</v>
      </c>
      <c r="AB8" s="15">
        <v>761.66196998228054</v>
      </c>
      <c r="AC8" s="10">
        <v>814.15080632531362</v>
      </c>
      <c r="AD8" s="10">
        <v>876.33468359500125</v>
      </c>
      <c r="AE8" s="10">
        <v>912.96624854866263</v>
      </c>
      <c r="AF8">
        <v>946.98528983046538</v>
      </c>
      <c r="AG8">
        <v>1006.6305331718323</v>
      </c>
      <c r="AH8">
        <v>1099.2649649249565</v>
      </c>
      <c r="AI8">
        <v>1202.7049716037386</v>
      </c>
      <c r="AJ8">
        <v>1313.4576982335509</v>
      </c>
      <c r="AK8">
        <v>1423.1163858771379</v>
      </c>
      <c r="AL8">
        <v>1531.5079471258418</v>
      </c>
      <c r="AM8">
        <v>1619.7352801325837</v>
      </c>
      <c r="AN8">
        <v>1629.4180577522559</v>
      </c>
      <c r="AO8">
        <v>1710.7885570991912</v>
      </c>
      <c r="AP8">
        <v>1821.0566233935053</v>
      </c>
      <c r="AQ8">
        <v>1925.2282802591856</v>
      </c>
      <c r="AR8">
        <v>2058.2657416158354</v>
      </c>
      <c r="AS8">
        <v>2219.1713678345786</v>
      </c>
      <c r="AT8">
        <v>2397.4870102363625</v>
      </c>
      <c r="AU8">
        <v>2609.2379545163917</v>
      </c>
      <c r="AV8">
        <v>2867.7831444150511</v>
      </c>
      <c r="AW8">
        <v>3192.5381884788717</v>
      </c>
      <c r="AX8">
        <v>3436.6647412346156</v>
      </c>
      <c r="AY8">
        <v>3674.9671118653368</v>
      </c>
      <c r="AZ8">
        <v>4005.488963302043</v>
      </c>
      <c r="BA8">
        <v>4313.7127211561565</v>
      </c>
      <c r="BB8">
        <v>4604.4748271941644</v>
      </c>
      <c r="BC8">
        <v>4900.3681411382504</v>
      </c>
      <c r="BD8">
        <v>5199.3191826843431</v>
      </c>
      <c r="BE8">
        <v>5503.86135458837</v>
      </c>
      <c r="BF8">
        <v>5817.7008634862041</v>
      </c>
      <c r="BG8">
        <v>6158.474969679779</v>
      </c>
      <c r="BH8">
        <v>6513.2418790138872</v>
      </c>
      <c r="BI8">
        <v>6853.4010058593003</v>
      </c>
    </row>
    <row r="9" spans="1:61" x14ac:dyDescent="0.35">
      <c r="A9" s="106"/>
      <c r="B9" s="19"/>
      <c r="C9" s="15"/>
      <c r="D9" s="15"/>
      <c r="E9" s="15"/>
      <c r="F9" s="15"/>
      <c r="G9" s="15"/>
      <c r="H9" s="15"/>
      <c r="I9" s="10"/>
      <c r="J9" s="10"/>
      <c r="K9" s="10"/>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row>
    <row r="10" spans="1:61" x14ac:dyDescent="0.35">
      <c r="A10" s="185" t="s">
        <v>514</v>
      </c>
      <c r="B10" s="19"/>
      <c r="C10" s="15"/>
      <c r="D10" s="15"/>
      <c r="E10" s="15"/>
      <c r="F10" s="15"/>
      <c r="G10" s="15"/>
      <c r="H10" s="15"/>
      <c r="I10" s="10"/>
      <c r="J10" s="10"/>
      <c r="K10" s="10"/>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row>
    <row r="11" spans="1:61" x14ac:dyDescent="0.35">
      <c r="A11" s="185" t="s">
        <v>448</v>
      </c>
      <c r="B11" s="19"/>
      <c r="C11" s="15"/>
      <c r="D11" s="15"/>
      <c r="E11" s="15"/>
      <c r="F11" s="15"/>
      <c r="G11" s="15"/>
      <c r="H11" s="15"/>
      <c r="I11" s="10"/>
      <c r="J11" s="10"/>
      <c r="K11" s="10"/>
    </row>
    <row r="12" spans="1:61" x14ac:dyDescent="0.35">
      <c r="A12" s="106"/>
      <c r="B12" s="19"/>
      <c r="C12" s="15"/>
      <c r="D12" s="15"/>
      <c r="E12" s="15"/>
      <c r="F12" s="15"/>
      <c r="G12" s="15"/>
      <c r="H12" s="15"/>
      <c r="I12" s="10"/>
      <c r="J12" s="10"/>
      <c r="K12" s="10"/>
    </row>
    <row r="13" spans="1:61" x14ac:dyDescent="0.35">
      <c r="A13" s="232"/>
      <c r="B13" s="233"/>
      <c r="C13" s="234"/>
      <c r="D13" s="234"/>
      <c r="E13" s="234"/>
      <c r="F13" s="234"/>
      <c r="G13" s="234"/>
      <c r="H13" s="234"/>
      <c r="I13" s="235"/>
      <c r="J13" s="235"/>
      <c r="K13" s="235"/>
      <c r="L13" s="236"/>
      <c r="M13" s="236"/>
      <c r="N13" s="236"/>
    </row>
    <row r="14" spans="1:61" x14ac:dyDescent="0.35">
      <c r="A14" s="237"/>
      <c r="B14" s="233"/>
      <c r="C14" s="234"/>
      <c r="D14" s="234"/>
      <c r="E14" s="234"/>
      <c r="F14" s="234"/>
      <c r="G14" s="234"/>
      <c r="H14" s="234"/>
      <c r="I14" s="235"/>
      <c r="J14" s="235"/>
      <c r="K14" s="235"/>
      <c r="L14" s="236"/>
      <c r="M14" s="236"/>
      <c r="N14" s="236"/>
    </row>
    <row r="15" spans="1:61" x14ac:dyDescent="0.35">
      <c r="A15" s="232"/>
      <c r="B15" s="233"/>
      <c r="C15" s="234"/>
      <c r="D15" s="234"/>
      <c r="E15" s="234"/>
      <c r="F15" s="234"/>
      <c r="G15" s="234"/>
      <c r="H15" s="234"/>
      <c r="I15" s="235"/>
      <c r="J15" s="235"/>
      <c r="K15" s="235"/>
      <c r="L15" s="236"/>
      <c r="M15" s="236"/>
      <c r="N15" s="236"/>
    </row>
    <row r="16" spans="1:61" x14ac:dyDescent="0.35">
      <c r="A16" s="232"/>
      <c r="B16" s="233"/>
      <c r="C16" s="234"/>
      <c r="D16" s="234"/>
      <c r="E16" s="234"/>
      <c r="F16" s="234"/>
      <c r="G16" s="234"/>
      <c r="H16" s="234"/>
      <c r="I16" s="235"/>
      <c r="J16" s="235"/>
      <c r="K16" s="235"/>
      <c r="L16" s="236"/>
      <c r="M16" s="236"/>
      <c r="N16" s="236"/>
    </row>
    <row r="17" spans="1:14" x14ac:dyDescent="0.35">
      <c r="A17" s="232"/>
      <c r="B17" s="233"/>
      <c r="C17" s="234"/>
      <c r="D17" s="234"/>
      <c r="E17" s="234"/>
      <c r="F17" s="234"/>
      <c r="G17" s="234"/>
      <c r="H17" s="234"/>
      <c r="I17" s="235"/>
      <c r="J17" s="235"/>
      <c r="K17" s="235"/>
      <c r="L17" s="236"/>
      <c r="M17" s="236"/>
      <c r="N17" s="236"/>
    </row>
    <row r="18" spans="1:14" x14ac:dyDescent="0.35">
      <c r="A18" s="232"/>
      <c r="B18" s="233"/>
      <c r="C18" s="234"/>
      <c r="D18" s="234"/>
      <c r="E18" s="234"/>
      <c r="F18" s="234"/>
      <c r="G18" s="234"/>
      <c r="H18" s="234"/>
      <c r="I18" s="235"/>
      <c r="J18" s="235"/>
      <c r="K18" s="235"/>
      <c r="L18" s="236"/>
      <c r="M18" s="236"/>
      <c r="N18" s="236"/>
    </row>
    <row r="19" spans="1:14" x14ac:dyDescent="0.35">
      <c r="A19" s="232"/>
      <c r="B19" s="233"/>
      <c r="C19" s="234"/>
      <c r="D19" s="234"/>
      <c r="E19" s="234"/>
      <c r="F19" s="234"/>
      <c r="G19" s="234"/>
      <c r="H19" s="234"/>
      <c r="I19" s="235"/>
      <c r="J19" s="235"/>
      <c r="K19" s="235"/>
      <c r="L19" s="236"/>
      <c r="M19" s="236"/>
      <c r="N19" s="236"/>
    </row>
    <row r="20" spans="1:14" x14ac:dyDescent="0.35">
      <c r="A20" s="232"/>
      <c r="B20" s="233"/>
      <c r="C20" s="234"/>
      <c r="D20" s="234"/>
      <c r="E20" s="234"/>
      <c r="F20" s="234"/>
      <c r="G20" s="234"/>
      <c r="H20" s="234"/>
      <c r="I20" s="235"/>
      <c r="J20" s="235"/>
      <c r="K20" s="235"/>
      <c r="L20" s="236"/>
      <c r="M20" s="236"/>
      <c r="N20" s="236"/>
    </row>
    <row r="21" spans="1:14" x14ac:dyDescent="0.35">
      <c r="A21" s="232"/>
      <c r="B21" s="233"/>
      <c r="C21" s="234"/>
      <c r="D21" s="234"/>
      <c r="E21" s="234"/>
      <c r="F21" s="234"/>
      <c r="G21" s="234"/>
      <c r="H21" s="234"/>
      <c r="I21" s="235"/>
      <c r="J21" s="235"/>
      <c r="K21" s="235"/>
      <c r="L21" s="236"/>
      <c r="M21" s="236"/>
      <c r="N21" s="236"/>
    </row>
    <row r="22" spans="1:14" x14ac:dyDescent="0.35">
      <c r="A22" s="232"/>
      <c r="B22" s="233"/>
      <c r="C22" s="234"/>
      <c r="D22" s="234"/>
      <c r="E22" s="234"/>
      <c r="F22" s="234"/>
      <c r="G22" s="234"/>
      <c r="H22" s="234"/>
      <c r="I22" s="235"/>
      <c r="J22" s="235"/>
      <c r="K22" s="235"/>
      <c r="L22" s="236"/>
      <c r="M22" s="236"/>
      <c r="N22" s="236"/>
    </row>
    <row r="23" spans="1:14" x14ac:dyDescent="0.35">
      <c r="A23" s="232"/>
      <c r="B23" s="233"/>
      <c r="C23" s="234"/>
      <c r="D23" s="234"/>
      <c r="E23" s="234"/>
      <c r="F23" s="234"/>
      <c r="G23" s="234"/>
      <c r="H23" s="234"/>
      <c r="I23" s="235"/>
      <c r="J23" s="235"/>
      <c r="K23" s="235"/>
      <c r="L23" s="236"/>
      <c r="M23" s="236"/>
      <c r="N23" s="236"/>
    </row>
    <row r="24" spans="1:14" x14ac:dyDescent="0.35">
      <c r="A24" s="232"/>
      <c r="B24" s="233"/>
      <c r="C24" s="234"/>
      <c r="D24" s="234"/>
      <c r="E24" s="234"/>
      <c r="F24" s="234"/>
      <c r="G24" s="234"/>
      <c r="H24" s="234"/>
      <c r="I24" s="235"/>
      <c r="J24" s="235"/>
      <c r="K24" s="235"/>
      <c r="L24" s="236"/>
      <c r="M24" s="236"/>
      <c r="N24" s="236"/>
    </row>
    <row r="25" spans="1:14" x14ac:dyDescent="0.35">
      <c r="A25" s="232"/>
      <c r="B25" s="233"/>
      <c r="C25" s="234"/>
      <c r="D25" s="234"/>
      <c r="E25" s="234"/>
      <c r="F25" s="234"/>
      <c r="G25" s="234"/>
      <c r="H25" s="234"/>
      <c r="I25" s="235"/>
      <c r="J25" s="235"/>
      <c r="K25" s="235"/>
      <c r="L25" s="236"/>
      <c r="M25" s="236"/>
      <c r="N25" s="236"/>
    </row>
    <row r="26" spans="1:14" x14ac:dyDescent="0.35">
      <c r="A26" s="232"/>
      <c r="B26" s="233"/>
      <c r="C26" s="234"/>
      <c r="D26" s="234"/>
      <c r="E26" s="234"/>
      <c r="F26" s="234"/>
      <c r="G26" s="234"/>
      <c r="H26" s="234"/>
      <c r="I26" s="235"/>
      <c r="J26" s="235"/>
      <c r="K26" s="235"/>
      <c r="L26" s="236"/>
      <c r="M26" s="236"/>
      <c r="N26" s="236"/>
    </row>
    <row r="27" spans="1:14" x14ac:dyDescent="0.35">
      <c r="A27" s="232"/>
      <c r="B27" s="233"/>
      <c r="C27" s="234"/>
      <c r="D27" s="234"/>
      <c r="E27" s="234"/>
      <c r="F27" s="234"/>
      <c r="G27" s="234"/>
      <c r="H27" s="234"/>
      <c r="I27" s="235"/>
      <c r="J27" s="235"/>
      <c r="K27" s="235"/>
      <c r="L27" s="236"/>
      <c r="M27" s="236"/>
      <c r="N27" s="236"/>
    </row>
    <row r="28" spans="1:14" x14ac:dyDescent="0.35">
      <c r="A28" s="232"/>
      <c r="B28" s="233"/>
      <c r="C28" s="234"/>
      <c r="D28" s="234"/>
      <c r="E28" s="234"/>
      <c r="F28" s="234"/>
      <c r="G28" s="234"/>
      <c r="H28" s="234"/>
      <c r="I28" s="235"/>
      <c r="J28" s="235"/>
      <c r="K28" s="235"/>
      <c r="L28" s="236"/>
      <c r="M28" s="236"/>
      <c r="N28" s="236"/>
    </row>
    <row r="29" spans="1:14" x14ac:dyDescent="0.35">
      <c r="A29" s="232"/>
      <c r="B29" s="233"/>
      <c r="C29" s="234"/>
      <c r="D29" s="234"/>
      <c r="E29" s="234"/>
      <c r="F29" s="234"/>
      <c r="G29" s="234"/>
      <c r="H29" s="234"/>
      <c r="I29" s="235"/>
      <c r="J29" s="235"/>
      <c r="K29" s="235"/>
      <c r="L29" s="236"/>
      <c r="M29" s="236"/>
      <c r="N29" s="236"/>
    </row>
    <row r="30" spans="1:14" x14ac:dyDescent="0.35">
      <c r="A30" s="232"/>
      <c r="B30" s="233"/>
      <c r="C30" s="234"/>
      <c r="D30" s="234"/>
      <c r="E30" s="234"/>
      <c r="F30" s="234"/>
      <c r="G30" s="234"/>
      <c r="H30" s="234"/>
      <c r="I30" s="235"/>
      <c r="J30" s="235"/>
      <c r="K30" s="235"/>
      <c r="L30" s="236"/>
      <c r="M30" s="236"/>
      <c r="N30" s="236"/>
    </row>
    <row r="31" spans="1:14" x14ac:dyDescent="0.35">
      <c r="A31" s="232"/>
      <c r="B31" s="233"/>
      <c r="C31" s="234"/>
      <c r="D31" s="234"/>
      <c r="E31" s="234"/>
      <c r="F31" s="234"/>
      <c r="G31" s="234"/>
      <c r="H31" s="234"/>
      <c r="I31" s="235"/>
      <c r="J31" s="235"/>
      <c r="K31" s="235"/>
      <c r="L31" s="236"/>
      <c r="M31" s="236"/>
      <c r="N31" s="236"/>
    </row>
    <row r="32" spans="1:14" x14ac:dyDescent="0.35">
      <c r="A32" s="232"/>
      <c r="B32" s="233"/>
      <c r="C32" s="234"/>
      <c r="D32" s="234"/>
      <c r="E32" s="234"/>
      <c r="F32" s="234"/>
      <c r="G32" s="234"/>
      <c r="H32" s="234"/>
      <c r="I32" s="235"/>
      <c r="J32" s="235"/>
      <c r="K32" s="235"/>
      <c r="L32" s="236"/>
      <c r="M32" s="236"/>
      <c r="N32" s="236"/>
    </row>
    <row r="33" spans="1:14" x14ac:dyDescent="0.35">
      <c r="A33" s="232"/>
      <c r="B33" s="233"/>
      <c r="C33" s="234"/>
      <c r="D33" s="234"/>
      <c r="E33" s="234"/>
      <c r="F33" s="234"/>
      <c r="G33" s="234"/>
      <c r="H33" s="234"/>
      <c r="I33" s="235"/>
      <c r="J33" s="235"/>
      <c r="K33" s="235"/>
      <c r="L33" s="236"/>
      <c r="M33" s="236"/>
      <c r="N33" s="236"/>
    </row>
    <row r="34" spans="1:14" x14ac:dyDescent="0.35">
      <c r="A34" s="232"/>
      <c r="B34" s="233"/>
      <c r="C34" s="234"/>
      <c r="D34" s="234"/>
      <c r="E34" s="234"/>
      <c r="F34" s="234"/>
      <c r="G34" s="234"/>
      <c r="H34" s="234"/>
      <c r="I34" s="235"/>
      <c r="J34" s="235"/>
      <c r="K34" s="235"/>
      <c r="L34" s="236"/>
      <c r="M34" s="236"/>
      <c r="N34" s="236"/>
    </row>
    <row r="35" spans="1:14" x14ac:dyDescent="0.35">
      <c r="A35" s="232"/>
      <c r="B35" s="233"/>
      <c r="C35" s="234"/>
      <c r="D35" s="234"/>
      <c r="E35" s="234"/>
      <c r="F35" s="234"/>
      <c r="G35" s="234"/>
      <c r="H35" s="234"/>
      <c r="I35" s="235"/>
      <c r="J35" s="235"/>
      <c r="K35" s="235"/>
      <c r="L35" s="236"/>
      <c r="M35" s="236"/>
      <c r="N35" s="236"/>
    </row>
    <row r="36" spans="1:14" x14ac:dyDescent="0.35">
      <c r="A36" s="232"/>
      <c r="B36" s="233"/>
      <c r="C36" s="234"/>
      <c r="D36" s="234"/>
      <c r="E36" s="234"/>
      <c r="F36" s="234"/>
      <c r="G36" s="234"/>
      <c r="H36" s="234"/>
      <c r="I36" s="235"/>
      <c r="J36" s="235"/>
      <c r="K36" s="235"/>
      <c r="L36" s="236"/>
      <c r="M36" s="236"/>
      <c r="N36" s="236"/>
    </row>
    <row r="37" spans="1:14" x14ac:dyDescent="0.35">
      <c r="A37" s="106"/>
      <c r="B37" s="19"/>
      <c r="C37" s="15"/>
      <c r="D37" s="15"/>
      <c r="E37" s="15"/>
      <c r="F37" s="15"/>
      <c r="G37" s="15"/>
      <c r="H37" s="15"/>
      <c r="I37" s="10"/>
      <c r="J37" s="10"/>
      <c r="K37" s="10"/>
    </row>
    <row r="38" spans="1:14" x14ac:dyDescent="0.35">
      <c r="A38" s="106"/>
      <c r="B38" s="19"/>
      <c r="C38" s="15"/>
      <c r="D38" s="15"/>
      <c r="E38" s="15"/>
      <c r="F38" s="15"/>
      <c r="G38" s="15"/>
      <c r="H38" s="15"/>
      <c r="I38" s="10"/>
      <c r="J38" s="10"/>
      <c r="K38" s="10"/>
    </row>
    <row r="39" spans="1:14" x14ac:dyDescent="0.35">
      <c r="A39" s="106"/>
      <c r="B39" s="19"/>
      <c r="C39" s="15"/>
      <c r="D39" s="15"/>
      <c r="E39" s="15"/>
      <c r="F39" s="15"/>
      <c r="G39" s="15"/>
      <c r="H39" s="15"/>
      <c r="I39" s="10"/>
      <c r="J39" s="10"/>
      <c r="K39" s="10"/>
    </row>
    <row r="40" spans="1:14" x14ac:dyDescent="0.35">
      <c r="A40" s="106"/>
      <c r="B40" s="19"/>
      <c r="C40" s="15"/>
      <c r="D40" s="15"/>
      <c r="E40" s="15"/>
      <c r="F40" s="15"/>
      <c r="G40" s="15"/>
      <c r="H40" s="15"/>
      <c r="I40" s="10"/>
      <c r="J40" s="10"/>
      <c r="K40" s="10"/>
    </row>
    <row r="41" spans="1:14" x14ac:dyDescent="0.35">
      <c r="A41" s="106"/>
      <c r="B41" s="19"/>
      <c r="C41" s="15"/>
      <c r="D41" s="15"/>
      <c r="E41" s="15"/>
      <c r="F41" s="15"/>
      <c r="G41" s="15"/>
      <c r="H41" s="15"/>
      <c r="I41" s="10"/>
      <c r="J41" s="10"/>
      <c r="K41" s="10"/>
    </row>
    <row r="42" spans="1:14" x14ac:dyDescent="0.35">
      <c r="A42" s="106"/>
      <c r="B42" s="19"/>
      <c r="C42" s="15"/>
      <c r="D42" s="15"/>
      <c r="E42" s="15"/>
      <c r="F42" s="15"/>
      <c r="G42" s="15"/>
      <c r="H42" s="15"/>
      <c r="I42" s="10"/>
      <c r="J42" s="10"/>
      <c r="K42" s="10"/>
    </row>
    <row r="43" spans="1:14" x14ac:dyDescent="0.35">
      <c r="A43" s="106"/>
      <c r="B43" s="19"/>
      <c r="C43" s="15"/>
      <c r="D43" s="15"/>
      <c r="E43" s="15"/>
      <c r="F43" s="15"/>
      <c r="G43" s="15"/>
      <c r="H43" s="15"/>
      <c r="I43" s="10"/>
      <c r="J43" s="10"/>
      <c r="K43" s="10"/>
    </row>
    <row r="44" spans="1:14" x14ac:dyDescent="0.35">
      <c r="A44" s="106"/>
      <c r="B44" s="19"/>
      <c r="C44" s="15"/>
      <c r="D44" s="15"/>
      <c r="E44" s="15"/>
      <c r="F44" s="15"/>
      <c r="G44" s="15"/>
      <c r="H44" s="15"/>
      <c r="I44" s="10"/>
      <c r="J44" s="10"/>
      <c r="K44" s="10"/>
    </row>
    <row r="45" spans="1:14" x14ac:dyDescent="0.35">
      <c r="A45" s="106"/>
      <c r="B45" s="19"/>
      <c r="C45" s="15"/>
      <c r="D45" s="15"/>
      <c r="E45" s="15"/>
      <c r="F45" s="15"/>
      <c r="G45" s="15"/>
      <c r="H45" s="15"/>
      <c r="I45" s="10"/>
      <c r="J45" s="10"/>
      <c r="K45" s="10"/>
    </row>
    <row r="46" spans="1:14" x14ac:dyDescent="0.35">
      <c r="A46" s="106"/>
      <c r="B46" s="19"/>
      <c r="C46" s="15"/>
      <c r="D46" s="15"/>
      <c r="E46" s="15"/>
      <c r="F46" s="15"/>
      <c r="G46" s="15"/>
      <c r="H46" s="15"/>
      <c r="I46" s="10"/>
      <c r="J46" s="10"/>
      <c r="K46" s="10"/>
    </row>
    <row r="47" spans="1:14" x14ac:dyDescent="0.35">
      <c r="A47" s="106"/>
      <c r="B47" s="19"/>
      <c r="C47" s="15"/>
      <c r="D47" s="15"/>
      <c r="E47" s="15"/>
      <c r="F47" s="15"/>
      <c r="G47" s="15"/>
      <c r="H47" s="15"/>
      <c r="I47" s="10"/>
      <c r="J47" s="10"/>
      <c r="K47" s="10"/>
    </row>
    <row r="48" spans="1:14" x14ac:dyDescent="0.35">
      <c r="A48" s="106"/>
      <c r="B48" s="19"/>
      <c r="C48" s="15"/>
      <c r="D48" s="15"/>
      <c r="E48" s="15"/>
      <c r="F48" s="15"/>
      <c r="G48" s="15"/>
      <c r="H48" s="15"/>
      <c r="I48" s="10"/>
      <c r="J48" s="10"/>
      <c r="K48" s="10"/>
    </row>
    <row r="49" spans="1:11" x14ac:dyDescent="0.35">
      <c r="A49" s="106"/>
      <c r="B49" s="19"/>
      <c r="C49" s="15"/>
      <c r="D49" s="15"/>
      <c r="E49" s="15"/>
      <c r="F49" s="15"/>
      <c r="G49" s="15"/>
      <c r="H49" s="15"/>
      <c r="I49" s="10"/>
      <c r="J49" s="10"/>
      <c r="K49" s="10"/>
    </row>
    <row r="50" spans="1:11" x14ac:dyDescent="0.35">
      <c r="A50" s="106"/>
      <c r="B50" s="19"/>
      <c r="C50" s="15"/>
      <c r="D50" s="15"/>
      <c r="E50" s="15"/>
      <c r="F50" s="15"/>
      <c r="G50" s="15"/>
      <c r="H50" s="15"/>
      <c r="I50" s="10"/>
      <c r="J50" s="10"/>
      <c r="K50" s="10"/>
    </row>
    <row r="51" spans="1:11" x14ac:dyDescent="0.35">
      <c r="A51" s="106"/>
      <c r="B51" s="19"/>
      <c r="C51" s="15"/>
      <c r="D51" s="15"/>
      <c r="E51" s="15"/>
      <c r="F51" s="15"/>
      <c r="G51" s="15"/>
      <c r="H51" s="15"/>
      <c r="I51" s="10"/>
      <c r="J51" s="10"/>
      <c r="K51" s="10"/>
    </row>
    <row r="52" spans="1:11" x14ac:dyDescent="0.35">
      <c r="A52" s="106"/>
      <c r="B52" s="19"/>
      <c r="C52" s="15"/>
      <c r="D52" s="15"/>
      <c r="E52" s="15"/>
      <c r="F52" s="15"/>
      <c r="G52" s="15"/>
      <c r="H52" s="15"/>
      <c r="I52" s="10"/>
      <c r="J52" s="10"/>
      <c r="K52" s="10"/>
    </row>
    <row r="53" spans="1:11" x14ac:dyDescent="0.35">
      <c r="A53" s="106"/>
      <c r="B53" s="19"/>
      <c r="C53" s="15"/>
      <c r="D53" s="15"/>
      <c r="E53" s="15"/>
      <c r="F53" s="15"/>
      <c r="G53" s="15"/>
      <c r="H53" s="15"/>
      <c r="I53" s="10"/>
      <c r="J53" s="10"/>
      <c r="K53" s="10"/>
    </row>
    <row r="54" spans="1:11" x14ac:dyDescent="0.35">
      <c r="A54" s="106"/>
      <c r="B54" s="19"/>
      <c r="C54" s="15"/>
      <c r="D54" s="15"/>
      <c r="E54" s="15"/>
      <c r="F54" s="15"/>
      <c r="G54" s="15"/>
      <c r="H54" s="15"/>
      <c r="I54" s="10"/>
      <c r="J54" s="10"/>
      <c r="K54" s="10"/>
    </row>
    <row r="55" spans="1:11" x14ac:dyDescent="0.35">
      <c r="A55" s="106"/>
      <c r="B55" s="19"/>
      <c r="C55" s="15"/>
      <c r="D55" s="15"/>
      <c r="E55" s="15"/>
      <c r="F55" s="15"/>
      <c r="G55" s="15"/>
      <c r="H55" s="15"/>
      <c r="I55" s="10"/>
      <c r="J55" s="10"/>
      <c r="K55" s="10"/>
    </row>
    <row r="56" spans="1:11" x14ac:dyDescent="0.35">
      <c r="A56" s="106"/>
      <c r="B56" s="19"/>
      <c r="C56" s="15"/>
      <c r="D56" s="15"/>
      <c r="E56" s="15"/>
      <c r="F56" s="15"/>
      <c r="G56" s="15"/>
      <c r="H56" s="15"/>
      <c r="I56" s="10"/>
      <c r="J56" s="10"/>
      <c r="K56" s="10"/>
    </row>
    <row r="57" spans="1:11" x14ac:dyDescent="0.35">
      <c r="A57" s="106"/>
      <c r="B57" s="19"/>
      <c r="C57" s="15"/>
      <c r="D57" s="15"/>
      <c r="E57" s="15"/>
      <c r="F57" s="15"/>
      <c r="G57" s="15"/>
      <c r="H57" s="15"/>
      <c r="I57" s="10"/>
      <c r="J57" s="10"/>
      <c r="K57" s="10"/>
    </row>
    <row r="58" spans="1:11" x14ac:dyDescent="0.35">
      <c r="A58" s="106"/>
      <c r="B58" s="19"/>
      <c r="C58" s="15"/>
      <c r="D58" s="15"/>
      <c r="E58" s="15"/>
      <c r="F58" s="15"/>
      <c r="G58" s="15"/>
      <c r="H58" s="15"/>
      <c r="I58" s="10"/>
      <c r="J58" s="10"/>
      <c r="K58" s="10"/>
    </row>
    <row r="59" spans="1:11" x14ac:dyDescent="0.35">
      <c r="A59" s="106"/>
      <c r="B59" s="19"/>
      <c r="C59" s="15"/>
      <c r="D59" s="15"/>
      <c r="E59" s="15"/>
      <c r="F59" s="15"/>
      <c r="G59" s="15"/>
      <c r="H59" s="15"/>
      <c r="I59" s="10"/>
      <c r="J59" s="10"/>
      <c r="K59" s="10"/>
    </row>
    <row r="60" spans="1:11" x14ac:dyDescent="0.35">
      <c r="A60" s="106"/>
      <c r="B60" s="19"/>
      <c r="C60" s="15"/>
      <c r="D60" s="15"/>
      <c r="E60" s="15"/>
      <c r="F60" s="15"/>
      <c r="G60" s="15"/>
      <c r="H60" s="15"/>
      <c r="I60" s="10"/>
      <c r="J60" s="10"/>
      <c r="K60" s="10"/>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T334"/>
  <sheetViews>
    <sheetView topLeftCell="E1" zoomScaleNormal="100" workbookViewId="0">
      <selection activeCell="E2" sqref="E2"/>
    </sheetView>
  </sheetViews>
  <sheetFormatPr defaultColWidth="14.81640625" defaultRowHeight="14.5" x14ac:dyDescent="0.35"/>
  <cols>
    <col min="1" max="1" width="10.54296875" style="285" customWidth="1"/>
    <col min="2" max="2" width="8.7265625" style="285"/>
    <col min="3" max="3" width="23.54296875" style="285" customWidth="1"/>
    <col min="4" max="4" width="29.1796875" style="106" customWidth="1"/>
    <col min="5" max="5" width="58.26953125" customWidth="1"/>
    <col min="10" max="10" width="48.453125" bestFit="1" customWidth="1"/>
    <col min="11" max="11" width="19.1796875" customWidth="1"/>
    <col min="12" max="20" width="15.453125" bestFit="1" customWidth="1"/>
  </cols>
  <sheetData>
    <row r="1" spans="1:20" ht="51.65" customHeight="1" x14ac:dyDescent="0.35">
      <c r="A1" s="387" t="s">
        <v>817</v>
      </c>
      <c r="B1" s="387"/>
      <c r="C1" s="387"/>
      <c r="D1" s="387"/>
    </row>
    <row r="2" spans="1:20" ht="62.5" customHeight="1" x14ac:dyDescent="0.35">
      <c r="C2" s="284" t="s">
        <v>815</v>
      </c>
      <c r="D2" s="284" t="s">
        <v>816</v>
      </c>
      <c r="J2" s="199" t="s">
        <v>395</v>
      </c>
      <c r="K2" s="200" t="s">
        <v>600</v>
      </c>
      <c r="L2" s="200" t="s">
        <v>184</v>
      </c>
      <c r="M2" s="15"/>
      <c r="N2" s="15"/>
      <c r="O2" s="15"/>
      <c r="P2" s="15"/>
      <c r="Q2" s="15"/>
      <c r="R2" s="10"/>
      <c r="S2" s="10"/>
      <c r="T2" s="10"/>
    </row>
    <row r="3" spans="1:20" ht="15.5" x14ac:dyDescent="0.35">
      <c r="C3" s="286" t="s">
        <v>264</v>
      </c>
      <c r="D3" s="286" t="s">
        <v>269</v>
      </c>
      <c r="J3" s="219" t="s">
        <v>264</v>
      </c>
      <c r="K3" s="220">
        <v>0.13200000000000001</v>
      </c>
      <c r="L3" s="221"/>
      <c r="M3" s="15"/>
      <c r="N3" s="15"/>
      <c r="O3" s="15"/>
      <c r="P3" s="15"/>
      <c r="Q3" s="15"/>
      <c r="R3" s="10"/>
      <c r="S3" s="10"/>
      <c r="T3" s="10"/>
    </row>
    <row r="4" spans="1:20" x14ac:dyDescent="0.35">
      <c r="C4" s="287" t="s">
        <v>813</v>
      </c>
      <c r="D4" s="287" t="s">
        <v>814</v>
      </c>
      <c r="J4" s="222" t="s">
        <v>390</v>
      </c>
      <c r="K4" s="223" t="s">
        <v>597</v>
      </c>
      <c r="L4" s="224"/>
      <c r="M4" s="15"/>
      <c r="N4" s="15"/>
      <c r="O4" s="15"/>
      <c r="P4" s="15"/>
      <c r="Q4" s="15"/>
      <c r="R4" s="10"/>
      <c r="S4" s="10"/>
      <c r="T4" s="10"/>
    </row>
    <row r="5" spans="1:20" x14ac:dyDescent="0.35">
      <c r="A5" s="285">
        <v>1993</v>
      </c>
      <c r="B5" s="285" t="str">
        <f>[2]Data!A36</f>
        <v>Jan.</v>
      </c>
      <c r="C5" s="285">
        <v>2.616663</v>
      </c>
      <c r="D5" s="285">
        <v>6.1799999999999988</v>
      </c>
      <c r="J5" s="222" t="s">
        <v>55</v>
      </c>
      <c r="K5" s="223" t="s">
        <v>597</v>
      </c>
      <c r="L5" s="224"/>
      <c r="M5" s="15"/>
      <c r="N5" s="15"/>
      <c r="O5" s="15"/>
      <c r="P5" s="15"/>
      <c r="Q5" s="15"/>
      <c r="R5" s="10"/>
      <c r="S5" s="10"/>
      <c r="T5" s="10"/>
    </row>
    <row r="6" spans="1:20" x14ac:dyDescent="0.35">
      <c r="B6" s="285" t="str">
        <f>[2]Data!A37</f>
        <v>Feb.</v>
      </c>
      <c r="C6" s="285">
        <v>2.878425</v>
      </c>
      <c r="D6" s="285">
        <v>6.69</v>
      </c>
      <c r="J6" s="222" t="s">
        <v>328</v>
      </c>
      <c r="K6" s="225">
        <v>0.17699999999999999</v>
      </c>
      <c r="L6" s="224"/>
      <c r="M6" s="15"/>
      <c r="N6" s="15"/>
      <c r="O6" s="15"/>
      <c r="P6" s="15"/>
      <c r="Q6" s="15"/>
      <c r="R6" s="10"/>
      <c r="S6" s="10"/>
      <c r="T6" s="10"/>
    </row>
    <row r="7" spans="1:20" x14ac:dyDescent="0.35">
      <c r="B7" s="285" t="str">
        <f>[2]Data!A38</f>
        <v>Mar.</v>
      </c>
      <c r="C7" s="285">
        <v>3.0493939999999999</v>
      </c>
      <c r="D7" s="285">
        <v>5.78</v>
      </c>
      <c r="J7" s="222" t="s">
        <v>266</v>
      </c>
      <c r="K7" s="225">
        <v>0.13</v>
      </c>
      <c r="L7" s="224"/>
      <c r="M7" s="15"/>
      <c r="N7" s="15"/>
      <c r="O7" s="15"/>
      <c r="P7" s="15"/>
      <c r="Q7" s="15"/>
      <c r="R7" s="10"/>
      <c r="S7" s="10"/>
      <c r="T7" s="10"/>
    </row>
    <row r="8" spans="1:20" x14ac:dyDescent="0.35">
      <c r="B8" s="285" t="str">
        <f>[2]Data!A39</f>
        <v>Apr.</v>
      </c>
      <c r="C8" s="285">
        <v>2.9773489999999998</v>
      </c>
      <c r="D8" s="285">
        <v>7.3900000000000006</v>
      </c>
      <c r="J8" s="222" t="s">
        <v>265</v>
      </c>
      <c r="K8" s="223" t="s">
        <v>597</v>
      </c>
      <c r="L8" s="224"/>
      <c r="M8" s="15"/>
      <c r="N8" s="15"/>
      <c r="O8" s="15"/>
      <c r="P8" s="15"/>
      <c r="Q8" s="15"/>
      <c r="R8" s="10"/>
      <c r="S8" s="10"/>
      <c r="T8" s="10"/>
    </row>
    <row r="9" spans="1:20" x14ac:dyDescent="0.35">
      <c r="B9" s="285" t="str">
        <f>[2]Data!A40</f>
        <v>May</v>
      </c>
      <c r="C9" s="285">
        <v>3.1209480000000003</v>
      </c>
      <c r="D9" s="285">
        <v>6.57</v>
      </c>
      <c r="J9" s="222" t="s">
        <v>269</v>
      </c>
      <c r="K9" s="225">
        <v>0.13</v>
      </c>
      <c r="L9" s="224"/>
      <c r="M9" s="15"/>
      <c r="N9" s="15"/>
      <c r="O9" s="15"/>
      <c r="P9" s="15"/>
      <c r="Q9" s="15"/>
      <c r="R9" s="10"/>
      <c r="S9" s="10"/>
      <c r="T9" s="10"/>
    </row>
    <row r="10" spans="1:20" ht="39" x14ac:dyDescent="0.35">
      <c r="B10" s="285" t="str">
        <f>[2]Data!A41</f>
        <v>Jun.</v>
      </c>
      <c r="C10" s="285">
        <v>3.2304550000000001</v>
      </c>
      <c r="D10" s="285">
        <v>7.63</v>
      </c>
      <c r="J10" s="222" t="s">
        <v>393</v>
      </c>
      <c r="K10" s="225">
        <v>0.13100000000000001</v>
      </c>
      <c r="L10" s="226" t="s">
        <v>598</v>
      </c>
      <c r="M10" s="15"/>
      <c r="N10" s="15"/>
      <c r="O10" s="15"/>
      <c r="P10" s="15"/>
      <c r="Q10" s="15"/>
      <c r="R10" s="10"/>
      <c r="S10" s="10"/>
      <c r="T10" s="10"/>
    </row>
    <row r="11" spans="1:20" ht="27" customHeight="1" x14ac:dyDescent="0.35">
      <c r="B11" s="285" t="str">
        <f>[2]Data!A42</f>
        <v>Jul.</v>
      </c>
      <c r="C11" s="285">
        <v>3.0956040000000002</v>
      </c>
      <c r="D11" s="285">
        <v>5.99</v>
      </c>
      <c r="J11" s="227" t="s">
        <v>394</v>
      </c>
      <c r="K11" s="228">
        <v>0.13</v>
      </c>
      <c r="L11" s="229" t="s">
        <v>599</v>
      </c>
      <c r="M11" s="15"/>
      <c r="N11" s="15"/>
      <c r="O11" s="15"/>
      <c r="P11" s="15"/>
      <c r="Q11" s="15"/>
      <c r="R11" s="10"/>
      <c r="S11" s="10"/>
      <c r="T11" s="10"/>
    </row>
    <row r="12" spans="1:20" ht="45" customHeight="1" x14ac:dyDescent="0.35">
      <c r="B12" s="285" t="str">
        <f>[2]Data!A43</f>
        <v>Aug.</v>
      </c>
      <c r="C12" s="285">
        <v>3.0115400000000001</v>
      </c>
      <c r="D12" s="285">
        <v>6.78</v>
      </c>
      <c r="J12" s="197" t="s">
        <v>818</v>
      </c>
      <c r="K12" s="19"/>
      <c r="L12" s="15"/>
      <c r="M12" s="15"/>
      <c r="N12" s="15"/>
      <c r="O12" s="15"/>
      <c r="P12" s="15"/>
      <c r="Q12" s="15"/>
      <c r="R12" s="10"/>
      <c r="S12" s="10"/>
      <c r="T12" s="10"/>
    </row>
    <row r="13" spans="1:20" x14ac:dyDescent="0.35">
      <c r="B13" s="285" t="str">
        <f>[2]Data!A44</f>
        <v>Sep.</v>
      </c>
      <c r="C13" s="285">
        <v>2.9274109999999998</v>
      </c>
      <c r="D13" s="285">
        <v>9.1800000000000015</v>
      </c>
      <c r="J13" s="288"/>
      <c r="K13" s="19"/>
      <c r="L13" s="15"/>
      <c r="M13" s="15"/>
      <c r="N13" s="15"/>
      <c r="O13" s="15"/>
      <c r="P13" s="15"/>
      <c r="Q13" s="15"/>
      <c r="R13" s="10"/>
      <c r="S13" s="10"/>
      <c r="T13" s="10"/>
    </row>
    <row r="14" spans="1:20" x14ac:dyDescent="0.35">
      <c r="B14" s="285" t="str">
        <f>[2]Data!A45</f>
        <v>Oct.</v>
      </c>
      <c r="C14" s="285">
        <v>2.76661</v>
      </c>
      <c r="D14" s="285">
        <v>5.04</v>
      </c>
      <c r="J14" s="106"/>
      <c r="K14" s="19"/>
      <c r="L14" s="15"/>
      <c r="M14" s="15"/>
      <c r="N14" s="15"/>
      <c r="O14" s="15"/>
      <c r="P14" s="15"/>
      <c r="Q14" s="15"/>
      <c r="R14" s="10"/>
      <c r="S14" s="10"/>
      <c r="T14" s="10"/>
    </row>
    <row r="15" spans="1:20" x14ac:dyDescent="0.35">
      <c r="B15" s="285" t="str">
        <f>[2]Data!A46</f>
        <v>Nov.</v>
      </c>
      <c r="C15" s="285">
        <v>2.8183340000000001</v>
      </c>
      <c r="D15" s="285">
        <v>8.52</v>
      </c>
      <c r="J15" s="106"/>
      <c r="K15" s="19"/>
      <c r="L15" s="15"/>
      <c r="M15" s="15"/>
      <c r="N15" s="15"/>
      <c r="O15" s="15"/>
      <c r="P15" s="15"/>
      <c r="Q15" s="15"/>
      <c r="R15" s="10"/>
      <c r="S15" s="10"/>
      <c r="T15" s="10"/>
    </row>
    <row r="16" spans="1:20" x14ac:dyDescent="0.35">
      <c r="B16" s="285" t="str">
        <f>[2]Data!A47</f>
        <v>Dec.</v>
      </c>
      <c r="C16" s="285">
        <v>3.4992049999999999</v>
      </c>
      <c r="D16" s="285">
        <v>12.280000000000001</v>
      </c>
      <c r="J16" s="106"/>
      <c r="K16" s="19"/>
      <c r="L16" s="15"/>
      <c r="M16" s="15"/>
      <c r="N16" s="15"/>
      <c r="O16" s="15"/>
      <c r="P16" s="15"/>
      <c r="Q16" s="15"/>
      <c r="R16" s="10"/>
      <c r="S16" s="10"/>
      <c r="T16" s="10"/>
    </row>
    <row r="17" spans="1:20" x14ac:dyDescent="0.35">
      <c r="A17" s="285">
        <f>A5+1</f>
        <v>1994</v>
      </c>
      <c r="B17" s="285" t="str">
        <f>[2]Data!A50</f>
        <v>Jan.</v>
      </c>
      <c r="C17" s="285">
        <v>2.9502630000000001</v>
      </c>
      <c r="D17" s="285">
        <v>7.62</v>
      </c>
      <c r="J17" s="106"/>
      <c r="K17" s="19"/>
      <c r="L17" s="15"/>
      <c r="M17" s="15"/>
      <c r="N17" s="15"/>
      <c r="O17" s="15"/>
      <c r="P17" s="15"/>
      <c r="Q17" s="15"/>
      <c r="R17" s="10"/>
      <c r="S17" s="10"/>
      <c r="T17" s="10"/>
    </row>
    <row r="18" spans="1:20" x14ac:dyDescent="0.35">
      <c r="B18" s="285" t="str">
        <f>[2]Data!A51</f>
        <v>Feb.</v>
      </c>
      <c r="C18" s="285">
        <v>3.0762679999999998</v>
      </c>
      <c r="D18" s="285">
        <v>6.9499999999999993</v>
      </c>
      <c r="J18" s="106"/>
      <c r="K18" s="19"/>
      <c r="L18" s="15"/>
      <c r="M18" s="15"/>
      <c r="N18" s="15"/>
      <c r="O18" s="15"/>
      <c r="P18" s="15"/>
      <c r="Q18" s="15"/>
      <c r="R18" s="10"/>
      <c r="S18" s="10"/>
      <c r="T18" s="10"/>
    </row>
    <row r="19" spans="1:20" x14ac:dyDescent="0.35">
      <c r="B19" s="285" t="str">
        <f>[2]Data!A52</f>
        <v>Mar.</v>
      </c>
      <c r="C19" s="285">
        <v>3.5287260000000003</v>
      </c>
      <c r="D19" s="285">
        <v>7.3699999999999992</v>
      </c>
      <c r="J19" s="106"/>
      <c r="K19" s="19"/>
      <c r="L19" s="15"/>
      <c r="M19" s="15"/>
      <c r="N19" s="15"/>
      <c r="O19" s="15"/>
      <c r="P19" s="15"/>
      <c r="Q19" s="15"/>
      <c r="R19" s="10"/>
      <c r="S19" s="10"/>
      <c r="T19" s="10"/>
    </row>
    <row r="20" spans="1:20" x14ac:dyDescent="0.35">
      <c r="B20" s="285" t="str">
        <f>[2]Data!A53</f>
        <v>Apr.</v>
      </c>
      <c r="C20" s="285">
        <v>3.0493670000000002</v>
      </c>
      <c r="D20" s="285">
        <v>5.76</v>
      </c>
      <c r="J20" s="106"/>
      <c r="K20" s="19"/>
      <c r="L20" s="15"/>
      <c r="M20" s="15"/>
      <c r="N20" s="15"/>
      <c r="O20" s="15"/>
      <c r="P20" s="15"/>
      <c r="Q20" s="15"/>
      <c r="R20" s="10"/>
      <c r="S20" s="10"/>
      <c r="T20" s="10"/>
    </row>
    <row r="21" spans="1:20" ht="21" x14ac:dyDescent="0.5">
      <c r="B21" s="285" t="str">
        <f>[2]Data!A54</f>
        <v>May</v>
      </c>
      <c r="C21" s="285">
        <v>4.1195389999999996</v>
      </c>
      <c r="D21" s="285">
        <v>7.18</v>
      </c>
      <c r="J21" s="148" t="s">
        <v>391</v>
      </c>
      <c r="K21" s="19"/>
      <c r="L21" s="15"/>
      <c r="M21" s="15"/>
      <c r="N21" s="15"/>
      <c r="O21" s="15"/>
      <c r="P21" s="15"/>
      <c r="Q21" s="15"/>
      <c r="R21" s="10"/>
      <c r="S21" s="10"/>
      <c r="T21" s="10"/>
    </row>
    <row r="22" spans="1:20" ht="15.5" x14ac:dyDescent="0.35">
      <c r="B22" s="285" t="str">
        <f>[2]Data!A55</f>
        <v>Jun.</v>
      </c>
      <c r="C22" s="285">
        <v>4.0879180000000002</v>
      </c>
      <c r="D22" s="285">
        <v>6.0600000000000005</v>
      </c>
      <c r="J22" s="146" t="s">
        <v>329</v>
      </c>
      <c r="K22" s="213" t="s">
        <v>380</v>
      </c>
      <c r="L22" s="213" t="s">
        <v>381</v>
      </c>
      <c r="M22" s="213" t="s">
        <v>382</v>
      </c>
      <c r="N22" s="213" t="s">
        <v>383</v>
      </c>
      <c r="O22" s="213" t="s">
        <v>384</v>
      </c>
      <c r="P22" s="213" t="s">
        <v>385</v>
      </c>
      <c r="Q22" s="213" t="s">
        <v>386</v>
      </c>
      <c r="R22" s="213" t="s">
        <v>387</v>
      </c>
      <c r="S22" s="213" t="s">
        <v>388</v>
      </c>
      <c r="T22" s="213" t="s">
        <v>389</v>
      </c>
    </row>
    <row r="23" spans="1:20" ht="15.5" x14ac:dyDescent="0.35">
      <c r="B23" s="285" t="str">
        <f>[2]Data!A56</f>
        <v>Jul.</v>
      </c>
      <c r="C23" s="285">
        <v>3.2215789999999997</v>
      </c>
      <c r="D23" s="285">
        <v>6.5500000000000007</v>
      </c>
      <c r="J23" s="137" t="s">
        <v>264</v>
      </c>
      <c r="K23" s="31">
        <v>175631133.06878901</v>
      </c>
      <c r="L23" s="31">
        <v>160556654.461292</v>
      </c>
      <c r="M23" s="31">
        <v>190607858.30126801</v>
      </c>
      <c r="N23" s="31">
        <v>203570068.858917</v>
      </c>
      <c r="O23" s="31">
        <v>220967734.41727799</v>
      </c>
      <c r="P23" s="31">
        <v>251175102.715195</v>
      </c>
      <c r="Q23" s="31">
        <v>269109464.51639301</v>
      </c>
      <c r="R23" s="31">
        <v>274232982.56031001</v>
      </c>
      <c r="S23" s="31">
        <v>285451765.92551601</v>
      </c>
      <c r="T23" s="31">
        <v>286588499.42744201</v>
      </c>
    </row>
    <row r="24" spans="1:20" ht="15.5" x14ac:dyDescent="0.35">
      <c r="B24" s="285" t="str">
        <f>[2]Data!A57</f>
        <v>Aug.</v>
      </c>
      <c r="C24" s="285">
        <v>4.4457490000000002</v>
      </c>
      <c r="D24" s="285">
        <v>6.89</v>
      </c>
      <c r="J24" s="137" t="s">
        <v>390</v>
      </c>
      <c r="K24" s="31">
        <v>3501731.4459110098</v>
      </c>
      <c r="L24" s="31">
        <v>12299746.086607501</v>
      </c>
      <c r="M24" s="31">
        <v>14254412.2154448</v>
      </c>
      <c r="N24" s="31">
        <v>14280890.1329704</v>
      </c>
      <c r="O24" s="31">
        <v>10474115.128356</v>
      </c>
      <c r="P24" s="31">
        <v>3944547.9352638698</v>
      </c>
      <c r="Q24" s="31">
        <v>2694279.5021276199</v>
      </c>
      <c r="R24" s="31">
        <v>4262316.5726972604</v>
      </c>
      <c r="S24" s="31">
        <v>3670805.6568609299</v>
      </c>
      <c r="T24" s="31">
        <v>2508340.1843385901</v>
      </c>
    </row>
    <row r="25" spans="1:20" ht="15.5" x14ac:dyDescent="0.35">
      <c r="B25" s="285" t="str">
        <f>[2]Data!A58</f>
        <v>Sep.</v>
      </c>
      <c r="C25" s="285">
        <v>4.1574960000000001</v>
      </c>
      <c r="D25" s="285">
        <v>9.09</v>
      </c>
      <c r="J25" s="137" t="s">
        <v>55</v>
      </c>
      <c r="K25" s="31">
        <v>14278624.9239779</v>
      </c>
      <c r="L25" s="31">
        <v>16928911.0471352</v>
      </c>
      <c r="M25" s="31">
        <v>20723053.994901001</v>
      </c>
      <c r="N25" s="31">
        <v>20640175.108854</v>
      </c>
      <c r="O25" s="31">
        <v>16335086.979238199</v>
      </c>
      <c r="P25" s="31">
        <v>18587890.826982699</v>
      </c>
      <c r="Q25" s="31">
        <v>20282719.8268633</v>
      </c>
      <c r="R25" s="31">
        <v>16073147.0540628</v>
      </c>
      <c r="S25" s="31">
        <v>19331180.193928398</v>
      </c>
      <c r="T25" s="31">
        <v>19331180.5</v>
      </c>
    </row>
    <row r="26" spans="1:20" ht="15.5" x14ac:dyDescent="0.35">
      <c r="B26" s="285" t="str">
        <f>[2]Data!A59</f>
        <v>Oct.</v>
      </c>
      <c r="C26" s="285">
        <v>3.4830950000000001</v>
      </c>
      <c r="D26" s="285">
        <v>8.0800000000000018</v>
      </c>
      <c r="J26" s="137" t="s">
        <v>328</v>
      </c>
      <c r="K26" s="31">
        <v>137135947.62385899</v>
      </c>
      <c r="L26" s="31">
        <v>136896001.84200001</v>
      </c>
      <c r="M26" s="31">
        <v>119859807.78</v>
      </c>
      <c r="N26" s="31">
        <v>33649746.710000001</v>
      </c>
      <c r="O26" s="31">
        <v>43679895.140000001</v>
      </c>
      <c r="P26" s="31">
        <v>61586100</v>
      </c>
      <c r="Q26" s="31">
        <v>80174600</v>
      </c>
      <c r="R26" s="31">
        <v>87044514.129999995</v>
      </c>
      <c r="S26" s="31">
        <v>96320932.129560605</v>
      </c>
      <c r="T26" s="31">
        <v>100384635.64456099</v>
      </c>
    </row>
    <row r="27" spans="1:20" ht="15.5" x14ac:dyDescent="0.35">
      <c r="B27" s="285" t="str">
        <f>[2]Data!A60</f>
        <v>Nov.</v>
      </c>
      <c r="C27" s="285">
        <v>3.9427900000000005</v>
      </c>
      <c r="D27" s="285">
        <v>6.2484999999999999</v>
      </c>
      <c r="J27" s="137" t="s">
        <v>266</v>
      </c>
      <c r="K27" s="31">
        <v>74029954.137255698</v>
      </c>
      <c r="L27" s="31">
        <v>84337265.063301593</v>
      </c>
      <c r="M27" s="31">
        <v>91248700.195955798</v>
      </c>
      <c r="N27" s="31">
        <v>122679910.24789201</v>
      </c>
      <c r="O27" s="31">
        <v>119291080.31858601</v>
      </c>
      <c r="P27" s="31">
        <v>149863544.87833601</v>
      </c>
      <c r="Q27" s="31">
        <v>126233535.32647599</v>
      </c>
      <c r="R27" s="31">
        <v>158518153.10150799</v>
      </c>
      <c r="S27" s="31">
        <v>183293154.32807699</v>
      </c>
      <c r="T27" s="31">
        <v>183293156</v>
      </c>
    </row>
    <row r="28" spans="1:20" ht="15.5" x14ac:dyDescent="0.35">
      <c r="B28" s="285" t="str">
        <f>[2]Data!A61</f>
        <v>Dec.</v>
      </c>
      <c r="C28" s="285">
        <v>4.7967040000000001</v>
      </c>
      <c r="D28" s="285">
        <v>14.95</v>
      </c>
      <c r="J28" s="137" t="s">
        <v>265</v>
      </c>
      <c r="K28" s="31">
        <v>11768615.437982701</v>
      </c>
      <c r="L28" s="31">
        <v>21765886.492138501</v>
      </c>
      <c r="M28" s="31">
        <v>22036537.530931301</v>
      </c>
      <c r="N28" s="31">
        <v>23710130.912137099</v>
      </c>
      <c r="O28" s="31">
        <v>64091052.248754203</v>
      </c>
      <c r="P28" s="31">
        <v>104193106.744306</v>
      </c>
      <c r="Q28" s="31">
        <v>80534470.598630697</v>
      </c>
      <c r="R28" s="31">
        <v>26177844.4570207</v>
      </c>
      <c r="S28" s="31">
        <v>35218649.796314202</v>
      </c>
      <c r="T28" s="31">
        <v>35218649.5</v>
      </c>
    </row>
    <row r="29" spans="1:20" ht="15.5" x14ac:dyDescent="0.35">
      <c r="A29" s="285">
        <f>A17+1</f>
        <v>1995</v>
      </c>
      <c r="B29" s="285" t="str">
        <f>[2]Data!A64</f>
        <v>Jan.</v>
      </c>
      <c r="C29" s="285">
        <v>3.4127460000000003</v>
      </c>
      <c r="D29" s="285">
        <v>10.150000000000002</v>
      </c>
      <c r="J29" s="137" t="s">
        <v>269</v>
      </c>
      <c r="K29" s="31">
        <v>138504771.84166199</v>
      </c>
      <c r="L29" s="31">
        <v>159583630.732209</v>
      </c>
      <c r="M29" s="31">
        <v>155789500.09484899</v>
      </c>
      <c r="N29" s="31">
        <v>160844870.18910101</v>
      </c>
      <c r="O29" s="31">
        <v>138543833.32532299</v>
      </c>
      <c r="P29" s="31">
        <v>130352486.482007</v>
      </c>
      <c r="Q29" s="31">
        <v>129534570.277412</v>
      </c>
      <c r="R29" s="31">
        <v>135541532.500191</v>
      </c>
      <c r="S29" s="31">
        <v>147363459.226935</v>
      </c>
      <c r="T29" s="31">
        <v>146774012.634</v>
      </c>
    </row>
    <row r="30" spans="1:20" x14ac:dyDescent="0.35">
      <c r="B30" s="285" t="str">
        <f>[2]Data!A65</f>
        <v>Feb.</v>
      </c>
      <c r="C30" s="285">
        <v>3.5304980000000001</v>
      </c>
      <c r="D30" s="285">
        <v>6.75</v>
      </c>
      <c r="J30" s="182" t="s">
        <v>589</v>
      </c>
      <c r="K30" s="15"/>
      <c r="L30" s="15"/>
      <c r="M30" s="15"/>
      <c r="N30" s="15"/>
      <c r="O30" s="10"/>
      <c r="P30" s="10"/>
      <c r="Q30" s="10"/>
    </row>
    <row r="31" spans="1:20" x14ac:dyDescent="0.35">
      <c r="B31" s="285" t="str">
        <f>[2]Data!A66</f>
        <v>Mar.</v>
      </c>
      <c r="C31" s="285">
        <v>4.4421049999999997</v>
      </c>
      <c r="D31" s="285">
        <v>8.39</v>
      </c>
      <c r="J31" s="106"/>
      <c r="K31" s="19"/>
      <c r="L31" s="15"/>
      <c r="M31" s="15"/>
      <c r="N31" s="15"/>
      <c r="O31" s="15"/>
      <c r="P31" s="15"/>
      <c r="Q31" s="15"/>
      <c r="R31" s="10"/>
      <c r="S31" s="10"/>
      <c r="T31" s="10"/>
    </row>
    <row r="32" spans="1:20" x14ac:dyDescent="0.35">
      <c r="B32" s="285" t="str">
        <f>[2]Data!A67</f>
        <v>Apr.</v>
      </c>
      <c r="C32" s="285">
        <v>3.4081579999999998</v>
      </c>
      <c r="D32" s="285">
        <v>7.69</v>
      </c>
      <c r="J32" s="106"/>
      <c r="K32" s="19"/>
      <c r="L32" s="15"/>
      <c r="M32" s="15"/>
      <c r="N32" s="15"/>
      <c r="O32" s="15"/>
      <c r="P32" s="15"/>
      <c r="Q32" s="15"/>
      <c r="R32" s="10"/>
      <c r="S32" s="10"/>
      <c r="T32" s="10"/>
    </row>
    <row r="33" spans="1:20" x14ac:dyDescent="0.35">
      <c r="B33" s="285" t="str">
        <f>[2]Data!A68</f>
        <v>May</v>
      </c>
      <c r="C33" s="285">
        <v>3.835302</v>
      </c>
      <c r="D33" s="285">
        <v>6.83</v>
      </c>
      <c r="J33" s="106"/>
      <c r="K33" s="19"/>
      <c r="L33" s="15"/>
      <c r="M33" s="15"/>
      <c r="N33" s="15"/>
      <c r="O33" s="15"/>
      <c r="P33" s="15"/>
      <c r="Q33" s="15"/>
      <c r="R33" s="10"/>
      <c r="S33" s="10"/>
      <c r="T33" s="10"/>
    </row>
    <row r="34" spans="1:20" x14ac:dyDescent="0.35">
      <c r="B34" s="285" t="str">
        <f>[2]Data!A69</f>
        <v>Jun.</v>
      </c>
      <c r="C34" s="285">
        <v>3.9148529999999999</v>
      </c>
      <c r="D34" s="285">
        <v>7.9360000000000008</v>
      </c>
      <c r="J34" s="106"/>
      <c r="K34" s="19"/>
      <c r="L34" s="15"/>
      <c r="M34" s="15"/>
      <c r="N34" s="15"/>
      <c r="O34" s="15"/>
      <c r="P34" s="15"/>
      <c r="Q34" s="15"/>
      <c r="R34" s="10"/>
      <c r="S34" s="10"/>
      <c r="T34" s="10"/>
    </row>
    <row r="35" spans="1:20" x14ac:dyDescent="0.35">
      <c r="B35" s="285" t="str">
        <f>[2]Data!A70</f>
        <v>Jul.</v>
      </c>
      <c r="C35" s="285">
        <v>3.5522139999999998</v>
      </c>
      <c r="D35" s="285">
        <v>8.18</v>
      </c>
      <c r="J35" s="106"/>
      <c r="K35" s="19"/>
      <c r="L35" s="15"/>
      <c r="M35" s="15"/>
      <c r="N35" s="15"/>
      <c r="O35" s="15"/>
      <c r="P35" s="15"/>
      <c r="Q35" s="15"/>
      <c r="R35" s="10"/>
      <c r="S35" s="10"/>
      <c r="T35" s="10"/>
    </row>
    <row r="36" spans="1:20" x14ac:dyDescent="0.35">
      <c r="B36" s="285" t="str">
        <f>[2]Data!A71</f>
        <v>Aug.</v>
      </c>
      <c r="C36" s="285">
        <v>3.9944949999999997</v>
      </c>
      <c r="D36" s="285">
        <v>7.02</v>
      </c>
      <c r="J36" s="106"/>
      <c r="K36" s="19"/>
      <c r="L36" s="15"/>
      <c r="M36" s="15"/>
      <c r="N36" s="15"/>
      <c r="O36" s="15"/>
      <c r="P36" s="15"/>
      <c r="Q36" s="15"/>
      <c r="R36" s="10"/>
      <c r="S36" s="10"/>
      <c r="T36" s="10"/>
    </row>
    <row r="37" spans="1:20" x14ac:dyDescent="0.35">
      <c r="B37" s="285" t="str">
        <f>[2]Data!A72</f>
        <v>Sep.</v>
      </c>
      <c r="C37" s="285">
        <v>2.9010350000000003</v>
      </c>
      <c r="D37" s="285">
        <v>7.0900000000000007</v>
      </c>
      <c r="J37" s="106"/>
      <c r="K37" s="19"/>
      <c r="L37" s="15"/>
      <c r="M37" s="15"/>
      <c r="N37" s="15"/>
      <c r="O37" s="15"/>
      <c r="P37" s="15"/>
      <c r="Q37" s="15"/>
      <c r="R37" s="10"/>
      <c r="S37" s="10"/>
      <c r="T37" s="10"/>
    </row>
    <row r="38" spans="1:20" ht="21" x14ac:dyDescent="0.5">
      <c r="B38" s="285" t="str">
        <f>[2]Data!A73</f>
        <v>Oct.</v>
      </c>
      <c r="C38" s="285">
        <v>3.2679679999999998</v>
      </c>
      <c r="D38" s="285">
        <v>7.629999999999999</v>
      </c>
      <c r="J38" s="148" t="s">
        <v>392</v>
      </c>
      <c r="K38" s="19"/>
      <c r="L38" s="15"/>
      <c r="M38" s="15"/>
      <c r="N38" s="15"/>
      <c r="O38" s="15"/>
      <c r="P38" s="15"/>
      <c r="Q38" s="15"/>
      <c r="R38" s="10"/>
      <c r="S38" s="10"/>
      <c r="T38" s="10"/>
    </row>
    <row r="39" spans="1:20" ht="18.5" x14ac:dyDescent="0.45">
      <c r="B39" s="285" t="str">
        <f>[2]Data!A74</f>
        <v>Nov.</v>
      </c>
      <c r="C39" s="285">
        <v>3.1546810000000001</v>
      </c>
      <c r="D39" s="285">
        <v>6</v>
      </c>
      <c r="J39" s="147" t="s">
        <v>329</v>
      </c>
      <c r="K39" s="215" t="s">
        <v>380</v>
      </c>
      <c r="L39" s="215" t="s">
        <v>381</v>
      </c>
      <c r="M39" s="215" t="s">
        <v>382</v>
      </c>
      <c r="N39" s="215" t="s">
        <v>383</v>
      </c>
      <c r="O39" s="215" t="s">
        <v>384</v>
      </c>
      <c r="P39" s="215" t="s">
        <v>385</v>
      </c>
      <c r="Q39" s="216" t="s">
        <v>386</v>
      </c>
      <c r="R39" s="216" t="s">
        <v>387</v>
      </c>
      <c r="S39" s="216" t="s">
        <v>388</v>
      </c>
      <c r="T39" s="216" t="s">
        <v>389</v>
      </c>
    </row>
    <row r="40" spans="1:20" x14ac:dyDescent="0.35">
      <c r="B40" s="285" t="str">
        <f>[2]Data!A75</f>
        <v>Dec.</v>
      </c>
      <c r="C40" s="285">
        <v>4.0528930000000001</v>
      </c>
      <c r="D40" s="285">
        <v>11.629999999999999</v>
      </c>
      <c r="J40" s="141" t="s">
        <v>264</v>
      </c>
      <c r="K40" s="35">
        <v>5.5924419335615356</v>
      </c>
      <c r="L40" s="35">
        <v>4.2536853137500259</v>
      </c>
      <c r="M40" s="35">
        <v>4.7987727862505372</v>
      </c>
      <c r="N40" s="35">
        <v>4.8583081493485922</v>
      </c>
      <c r="O40" s="35">
        <v>4.5495039587639123</v>
      </c>
      <c r="P40" s="35">
        <v>5.3640702391154473</v>
      </c>
      <c r="Q40" s="149">
        <v>5.4583837094215619</v>
      </c>
      <c r="R40" s="149">
        <v>5.1225904291701081</v>
      </c>
      <c r="S40" s="149">
        <v>5.1555744480032226</v>
      </c>
      <c r="T40" s="150">
        <v>5.1772371783848632</v>
      </c>
    </row>
    <row r="41" spans="1:20" x14ac:dyDescent="0.35">
      <c r="A41" s="285">
        <f>A29+1</f>
        <v>1996</v>
      </c>
      <c r="B41" s="285" t="str">
        <f>[2]Data!A78</f>
        <v>Jan.</v>
      </c>
      <c r="C41" s="285">
        <v>3.5868069999999999</v>
      </c>
      <c r="D41" s="285">
        <v>10.42</v>
      </c>
      <c r="J41" s="141" t="s">
        <v>390</v>
      </c>
      <c r="K41" s="35">
        <v>2.4572251709598768E-2</v>
      </c>
      <c r="L41" s="35">
        <v>6.8389253787554394E-2</v>
      </c>
      <c r="M41" s="35">
        <v>6.6935764008890369E-2</v>
      </c>
      <c r="N41" s="35">
        <v>6.7168051528661885E-2</v>
      </c>
      <c r="O41" s="35">
        <v>4.5126269384929842E-2</v>
      </c>
      <c r="P41" s="35">
        <v>1.8157950030346728E-2</v>
      </c>
      <c r="Q41" s="149">
        <v>1.2978806943350782E-2</v>
      </c>
      <c r="R41" s="149">
        <v>1.8741542446893002E-2</v>
      </c>
      <c r="S41" s="149">
        <v>1.5678831525239453E-2</v>
      </c>
      <c r="T41" s="150">
        <v>1.004557155761706E-2</v>
      </c>
    </row>
    <row r="42" spans="1:20" x14ac:dyDescent="0.35">
      <c r="B42" s="285" t="str">
        <f>[2]Data!A79</f>
        <v>Feb.</v>
      </c>
      <c r="C42" s="285">
        <v>4.1092960000000005</v>
      </c>
      <c r="D42" s="285">
        <v>5.56</v>
      </c>
      <c r="J42" s="141" t="s">
        <v>55</v>
      </c>
      <c r="K42" s="35">
        <v>2.0962489767593522</v>
      </c>
      <c r="L42" s="35">
        <v>1.8149937505152658</v>
      </c>
      <c r="M42" s="35">
        <v>1.9478761504458846</v>
      </c>
      <c r="N42" s="35">
        <v>1.8269082125978104</v>
      </c>
      <c r="O42" s="35">
        <v>1.3934597537094355</v>
      </c>
      <c r="P42" s="35">
        <v>1.609828928113904</v>
      </c>
      <c r="Q42" s="149">
        <v>1.6483855256398343</v>
      </c>
      <c r="R42" s="149">
        <v>1.2273033716594464</v>
      </c>
      <c r="S42" s="149">
        <v>1.3851435080648324</v>
      </c>
      <c r="T42" s="150">
        <v>1.3565034122658917</v>
      </c>
    </row>
    <row r="43" spans="1:20" x14ac:dyDescent="0.35">
      <c r="B43" s="285" t="str">
        <f>[2]Data!A80</f>
        <v>Mar.</v>
      </c>
      <c r="C43" s="285">
        <v>4.1526180000000004</v>
      </c>
      <c r="D43" s="285">
        <v>10.559999999999999</v>
      </c>
      <c r="J43" s="141" t="s">
        <v>328</v>
      </c>
      <c r="K43" s="35">
        <v>15.551369375946669</v>
      </c>
      <c r="L43" s="35">
        <v>12.979297036700576</v>
      </c>
      <c r="M43" s="35">
        <v>10.442750276171914</v>
      </c>
      <c r="N43" s="35">
        <v>2.4112601537837235</v>
      </c>
      <c r="O43" s="35">
        <v>3.0180007618155402</v>
      </c>
      <c r="P43" s="35">
        <v>3.8571860991210905</v>
      </c>
      <c r="Q43" s="149">
        <v>4.8413472651766263</v>
      </c>
      <c r="R43" s="149">
        <v>5.4076022013337042</v>
      </c>
      <c r="S43" s="149">
        <v>6.1405216219628489</v>
      </c>
      <c r="T43" s="150">
        <v>5.9983399052034176</v>
      </c>
    </row>
    <row r="44" spans="1:20" x14ac:dyDescent="0.35">
      <c r="B44" s="285" t="str">
        <f>[2]Data!A81</f>
        <v>Apr.</v>
      </c>
      <c r="C44" s="285">
        <v>4.1464999999999996</v>
      </c>
      <c r="D44" s="285">
        <v>7.15</v>
      </c>
      <c r="J44" s="141" t="s">
        <v>266</v>
      </c>
      <c r="K44" s="35">
        <v>20.035972854686758</v>
      </c>
      <c r="L44" s="35">
        <v>19.937329460964499</v>
      </c>
      <c r="M44" s="35">
        <v>19.317689478157067</v>
      </c>
      <c r="N44" s="35">
        <v>27.220684462221033</v>
      </c>
      <c r="O44" s="35">
        <v>26.87274392310422</v>
      </c>
      <c r="P44" s="35">
        <v>34.416718361079631</v>
      </c>
      <c r="Q44" s="149">
        <v>31.471106007868819</v>
      </c>
      <c r="R44" s="149">
        <v>36.849761008611154</v>
      </c>
      <c r="S44" s="149">
        <v>40.699856907248424</v>
      </c>
      <c r="T44" s="150"/>
    </row>
    <row r="45" spans="1:20" x14ac:dyDescent="0.35">
      <c r="B45" s="285" t="str">
        <f>[2]Data!A82</f>
        <v>May</v>
      </c>
      <c r="C45" s="285">
        <v>3.7451470000000002</v>
      </c>
      <c r="D45" s="285">
        <v>9.6</v>
      </c>
      <c r="J45" s="141" t="s">
        <v>265</v>
      </c>
      <c r="K45" s="35">
        <v>1.6793012927171398</v>
      </c>
      <c r="L45" s="35">
        <v>2.7476986324022379</v>
      </c>
      <c r="M45" s="35">
        <v>2.8190426645331059</v>
      </c>
      <c r="N45" s="35">
        <v>2.9571587559340951</v>
      </c>
      <c r="O45" s="35">
        <v>7.8643737078908762</v>
      </c>
      <c r="P45" s="35">
        <v>13.715214557811198</v>
      </c>
      <c r="Q45" s="149">
        <v>10.012580742907122</v>
      </c>
      <c r="R45" s="149">
        <v>2.9746078299783298</v>
      </c>
      <c r="S45" s="149">
        <v>3.8870532132033118</v>
      </c>
      <c r="T45" s="150">
        <v>3.8403914283844256</v>
      </c>
    </row>
    <row r="46" spans="1:20" x14ac:dyDescent="0.35">
      <c r="B46" s="285" t="str">
        <f>[2]Data!A83</f>
        <v>Jun.</v>
      </c>
      <c r="C46" s="285">
        <v>3.082392</v>
      </c>
      <c r="D46" s="285">
        <v>6.6899999999999995</v>
      </c>
      <c r="J46" s="141" t="s">
        <v>269</v>
      </c>
      <c r="K46" s="35">
        <v>20.885526091845403</v>
      </c>
      <c r="L46" s="35">
        <v>21.641343167021709</v>
      </c>
      <c r="M46" s="35">
        <v>20.483805754401825</v>
      </c>
      <c r="N46" s="35">
        <v>20.88835648601043</v>
      </c>
      <c r="O46" s="35">
        <v>18.30363161974833</v>
      </c>
      <c r="P46" s="35">
        <v>16.535744554109726</v>
      </c>
      <c r="Q46" s="149">
        <v>16.204451854190964</v>
      </c>
      <c r="R46" s="149">
        <v>16.292933258841337</v>
      </c>
      <c r="S46" s="149">
        <v>17.960381336425399</v>
      </c>
      <c r="T46" s="150">
        <v>17.254234638335937</v>
      </c>
    </row>
    <row r="47" spans="1:20" x14ac:dyDescent="0.35">
      <c r="B47" s="285" t="str">
        <f>[2]Data!A84</f>
        <v>Jul.</v>
      </c>
      <c r="C47" s="285">
        <v>3.4292400000000001</v>
      </c>
      <c r="D47" s="285">
        <v>10.229999999999999</v>
      </c>
      <c r="J47" s="182" t="s">
        <v>589</v>
      </c>
      <c r="K47" s="19"/>
      <c r="L47" s="15"/>
      <c r="M47" s="15"/>
      <c r="N47" s="15"/>
      <c r="O47" s="15"/>
      <c r="P47" s="15"/>
      <c r="Q47" s="15"/>
      <c r="R47" s="10"/>
      <c r="S47" s="10"/>
      <c r="T47" s="10"/>
    </row>
    <row r="48" spans="1:20" x14ac:dyDescent="0.35">
      <c r="B48" s="285" t="str">
        <f>[2]Data!A85</f>
        <v>Aug.</v>
      </c>
      <c r="C48" s="285">
        <v>3.3521910000000004</v>
      </c>
      <c r="D48" s="285">
        <v>7.19</v>
      </c>
      <c r="J48" s="106"/>
      <c r="K48" s="19"/>
      <c r="L48" s="15"/>
      <c r="M48" s="15"/>
      <c r="N48" s="15"/>
      <c r="O48" s="15"/>
      <c r="P48" s="15"/>
      <c r="Q48" s="15"/>
      <c r="R48" s="10"/>
      <c r="S48" s="10"/>
      <c r="T48" s="10"/>
    </row>
    <row r="49" spans="1:20" x14ac:dyDescent="0.35">
      <c r="B49" s="285" t="str">
        <f>[2]Data!A86</f>
        <v>Sep.</v>
      </c>
      <c r="C49" s="285">
        <v>3.580031</v>
      </c>
      <c r="D49" s="285">
        <v>8.077</v>
      </c>
      <c r="J49" s="106"/>
      <c r="K49" s="19"/>
      <c r="L49" s="15"/>
      <c r="M49" s="15"/>
      <c r="N49" s="15"/>
      <c r="O49" s="15"/>
      <c r="P49" s="15"/>
      <c r="Q49" s="15"/>
      <c r="R49" s="10"/>
      <c r="S49" s="10"/>
      <c r="T49" s="10"/>
    </row>
    <row r="50" spans="1:20" x14ac:dyDescent="0.35">
      <c r="B50" s="285" t="str">
        <f>[2]Data!A87</f>
        <v>Oct.</v>
      </c>
      <c r="C50" s="285">
        <v>4.7163839999999997</v>
      </c>
      <c r="D50" s="285">
        <v>7.52</v>
      </c>
    </row>
    <row r="51" spans="1:20" x14ac:dyDescent="0.35">
      <c r="B51" s="285" t="str">
        <f>[2]Data!A88</f>
        <v>Nov.</v>
      </c>
      <c r="C51" s="285">
        <v>4.2797990000000006</v>
      </c>
      <c r="D51" s="285">
        <v>7.6899999999999995</v>
      </c>
    </row>
    <row r="52" spans="1:20" x14ac:dyDescent="0.35">
      <c r="B52" s="285" t="str">
        <f>[2]Data!A89</f>
        <v>Dec.</v>
      </c>
      <c r="C52" s="285">
        <v>4.1564940000000004</v>
      </c>
      <c r="D52" s="285">
        <v>13.350000000000001</v>
      </c>
    </row>
    <row r="53" spans="1:20" x14ac:dyDescent="0.35">
      <c r="A53" s="285">
        <f>A41+1</f>
        <v>1997</v>
      </c>
      <c r="B53" s="285" t="str">
        <f>[2]Data!A92</f>
        <v>Jan.</v>
      </c>
      <c r="C53" s="285">
        <v>4.6356719999999996</v>
      </c>
      <c r="D53" s="285">
        <v>11.3531</v>
      </c>
    </row>
    <row r="54" spans="1:20" x14ac:dyDescent="0.35">
      <c r="B54" s="285" t="str">
        <f>[2]Data!A93</f>
        <v>Feb.</v>
      </c>
      <c r="C54" s="285">
        <v>3.7810860000000002</v>
      </c>
      <c r="D54" s="285">
        <v>8.2423000000000002</v>
      </c>
    </row>
    <row r="55" spans="1:20" x14ac:dyDescent="0.35">
      <c r="B55" s="285" t="str">
        <f>[2]Data!A94</f>
        <v>Mar.</v>
      </c>
      <c r="C55" s="285">
        <v>4.3800910000000002</v>
      </c>
      <c r="D55" s="285">
        <v>7.7577000000000007</v>
      </c>
    </row>
    <row r="56" spans="1:20" x14ac:dyDescent="0.35">
      <c r="B56" s="285" t="str">
        <f>[2]Data!A95</f>
        <v>Apr.</v>
      </c>
      <c r="C56" s="285">
        <v>4.3290249999999997</v>
      </c>
      <c r="D56" s="285">
        <v>7.1360000000000001</v>
      </c>
    </row>
    <row r="57" spans="1:20" x14ac:dyDescent="0.35">
      <c r="B57" s="285" t="str">
        <f>[2]Data!A96</f>
        <v>May</v>
      </c>
      <c r="C57" s="285">
        <v>4.4730869999999996</v>
      </c>
      <c r="D57" s="285">
        <v>10.085900000000001</v>
      </c>
    </row>
    <row r="58" spans="1:20" x14ac:dyDescent="0.35">
      <c r="B58" s="285" t="str">
        <f>[2]Data!A97</f>
        <v>Jun.</v>
      </c>
      <c r="C58" s="285">
        <v>5.9061950000000003</v>
      </c>
      <c r="D58" s="285">
        <v>8.6961999999999993</v>
      </c>
    </row>
    <row r="59" spans="1:20" x14ac:dyDescent="0.35">
      <c r="B59" s="285" t="str">
        <f>[2]Data!A98</f>
        <v>Jul.</v>
      </c>
      <c r="C59" s="285">
        <v>4.7861359999999999</v>
      </c>
      <c r="D59" s="285">
        <v>10.3529</v>
      </c>
    </row>
    <row r="60" spans="1:20" x14ac:dyDescent="0.35">
      <c r="B60" s="285" t="str">
        <f>[2]Data!A99</f>
        <v>Aug.</v>
      </c>
      <c r="C60" s="285">
        <v>6.337364</v>
      </c>
      <c r="D60" s="285">
        <v>7.2923</v>
      </c>
    </row>
    <row r="61" spans="1:20" x14ac:dyDescent="0.35">
      <c r="B61" s="285" t="str">
        <f>[2]Data!A100</f>
        <v>Sep.</v>
      </c>
      <c r="C61" s="285">
        <v>5.3912180000000003</v>
      </c>
      <c r="D61" s="285">
        <v>8.8592999999999993</v>
      </c>
    </row>
    <row r="62" spans="1:20" x14ac:dyDescent="0.35">
      <c r="B62" s="285" t="str">
        <f>[2]Data!A101</f>
        <v>Oct.</v>
      </c>
      <c r="C62" s="285">
        <v>4.9995290000000008</v>
      </c>
      <c r="D62" s="285">
        <v>8.36</v>
      </c>
    </row>
    <row r="63" spans="1:20" x14ac:dyDescent="0.35">
      <c r="B63" s="285" t="str">
        <f>[2]Data!A102</f>
        <v>Nov.</v>
      </c>
      <c r="C63" s="285">
        <v>4.7710050000000006</v>
      </c>
      <c r="D63" s="285">
        <v>9.1800000000000015</v>
      </c>
    </row>
    <row r="64" spans="1:20" x14ac:dyDescent="0.35">
      <c r="B64" s="285" t="str">
        <f>[2]Data!A103</f>
        <v>Dec.</v>
      </c>
      <c r="C64" s="285">
        <v>5.9549849999999998</v>
      </c>
      <c r="D64" s="285">
        <v>17.88</v>
      </c>
    </row>
    <row r="65" spans="1:4" x14ac:dyDescent="0.35">
      <c r="A65" s="285">
        <f>A53+1</f>
        <v>1998</v>
      </c>
      <c r="B65" s="285" t="str">
        <f>[2]Data!A106</f>
        <v>Jan.</v>
      </c>
      <c r="C65" s="285">
        <v>2.9940920000000002</v>
      </c>
      <c r="D65" s="285">
        <v>6.2023446666666668</v>
      </c>
    </row>
    <row r="66" spans="1:4" x14ac:dyDescent="0.35">
      <c r="B66" s="285" t="str">
        <f>[2]Data!A107</f>
        <v>Feb.</v>
      </c>
      <c r="C66" s="285">
        <v>6.1220608999999993</v>
      </c>
      <c r="D66" s="285">
        <v>8.3286089766666684</v>
      </c>
    </row>
    <row r="67" spans="1:4" x14ac:dyDescent="0.35">
      <c r="B67" s="285" t="str">
        <f>[2]Data!A108</f>
        <v>Mar.</v>
      </c>
      <c r="C67" s="285">
        <v>5.4332250000000002</v>
      </c>
      <c r="D67" s="285">
        <v>8.9639033700000006</v>
      </c>
    </row>
    <row r="68" spans="1:4" x14ac:dyDescent="0.35">
      <c r="B68" s="285" t="str">
        <f>[2]Data!A109</f>
        <v>Apr.</v>
      </c>
      <c r="C68" s="285">
        <v>5.3923090000000009</v>
      </c>
      <c r="D68" s="285">
        <v>10.024443236666668</v>
      </c>
    </row>
    <row r="69" spans="1:4" x14ac:dyDescent="0.35">
      <c r="B69" s="285" t="str">
        <f>[2]Data!A110</f>
        <v>May</v>
      </c>
      <c r="C69" s="285">
        <v>5.1421530000000004</v>
      </c>
      <c r="D69" s="285">
        <v>11.458696483333332</v>
      </c>
    </row>
    <row r="70" spans="1:4" x14ac:dyDescent="0.35">
      <c r="B70" s="285" t="str">
        <f>[2]Data!A111</f>
        <v>Jun.</v>
      </c>
      <c r="C70" s="285">
        <v>5.8597470000000005</v>
      </c>
      <c r="D70" s="285">
        <v>11.119248023333332</v>
      </c>
    </row>
    <row r="71" spans="1:4" x14ac:dyDescent="0.35">
      <c r="B71" s="285" t="str">
        <f>[2]Data!A112</f>
        <v>Jul.</v>
      </c>
      <c r="C71" s="285">
        <v>5.3078629999999993</v>
      </c>
      <c r="D71" s="285">
        <v>14.015655099999998</v>
      </c>
    </row>
    <row r="72" spans="1:4" x14ac:dyDescent="0.35">
      <c r="B72" s="285" t="str">
        <f>[2]Data!A113</f>
        <v>Aug.</v>
      </c>
      <c r="C72" s="285">
        <v>5.3618790000000001</v>
      </c>
      <c r="D72" s="285">
        <v>7.2189735033333333</v>
      </c>
    </row>
    <row r="73" spans="1:4" x14ac:dyDescent="0.35">
      <c r="B73" s="285" t="str">
        <f>[2]Data!A114</f>
        <v>Sep.</v>
      </c>
      <c r="C73" s="285">
        <v>5.0040789999999999</v>
      </c>
      <c r="D73" s="285">
        <v>7.0715861999999996</v>
      </c>
    </row>
    <row r="74" spans="1:4" x14ac:dyDescent="0.35">
      <c r="B74" s="285" t="str">
        <f>[2]Data!A115</f>
        <v>Oct.</v>
      </c>
      <c r="C74" s="285">
        <v>5.6377259999999998</v>
      </c>
      <c r="D74" s="285">
        <v>10.535706266666667</v>
      </c>
    </row>
    <row r="75" spans="1:4" x14ac:dyDescent="0.35">
      <c r="B75" s="285" t="str">
        <f>[2]Data!A116</f>
        <v>Nov.</v>
      </c>
      <c r="C75" s="285">
        <v>5.7933449999999995</v>
      </c>
      <c r="D75" s="285">
        <v>10.199301713333334</v>
      </c>
    </row>
    <row r="76" spans="1:4" x14ac:dyDescent="0.35">
      <c r="B76" s="285" t="str">
        <f>[2]Data!A117</f>
        <v>Dec.</v>
      </c>
      <c r="C76" s="285">
        <v>6.0424809999999995</v>
      </c>
      <c r="D76" s="285">
        <v>13.918865070000003</v>
      </c>
    </row>
    <row r="77" spans="1:4" x14ac:dyDescent="0.35">
      <c r="A77" s="285">
        <f>A65+1</f>
        <v>1999</v>
      </c>
      <c r="B77" s="285" t="str">
        <f>[2]Data!A120</f>
        <v>Jan.</v>
      </c>
      <c r="C77" s="285">
        <v>3.4810409999999998</v>
      </c>
      <c r="D77" s="285">
        <v>7.9606075400000007</v>
      </c>
    </row>
    <row r="78" spans="1:4" x14ac:dyDescent="0.35">
      <c r="B78" s="285" t="str">
        <f>[2]Data!A121</f>
        <v>Feb.</v>
      </c>
      <c r="C78" s="285">
        <v>3.5085289999999998</v>
      </c>
      <c r="D78" s="285">
        <v>7.0947127566666666</v>
      </c>
    </row>
    <row r="79" spans="1:4" x14ac:dyDescent="0.35">
      <c r="B79" s="285" t="str">
        <f>[2]Data!A122</f>
        <v>Mar.</v>
      </c>
      <c r="C79" s="285">
        <v>3.7725840000000002</v>
      </c>
      <c r="D79" s="285">
        <v>10.529383260000001</v>
      </c>
    </row>
    <row r="80" spans="1:4" x14ac:dyDescent="0.35">
      <c r="B80" s="285" t="str">
        <f>[2]Data!A123</f>
        <v>Apr.</v>
      </c>
      <c r="C80" s="285">
        <v>3.774359</v>
      </c>
      <c r="D80" s="285">
        <v>9.1553360466666653</v>
      </c>
    </row>
    <row r="81" spans="1:4" x14ac:dyDescent="0.35">
      <c r="B81" s="285" t="str">
        <f>[2]Data!A124</f>
        <v>May</v>
      </c>
      <c r="C81" s="285">
        <v>1.8904730000000001</v>
      </c>
      <c r="D81" s="285">
        <v>13.004560006666665</v>
      </c>
    </row>
    <row r="82" spans="1:4" x14ac:dyDescent="0.35">
      <c r="B82" s="285" t="str">
        <f>[2]Data!A125</f>
        <v>Jun.</v>
      </c>
      <c r="C82" s="285">
        <v>1.9600930000000001</v>
      </c>
      <c r="D82" s="285">
        <v>12.800915833333333</v>
      </c>
    </row>
    <row r="83" spans="1:4" x14ac:dyDescent="0.35">
      <c r="B83" s="285" t="str">
        <f>[2]Data!A126</f>
        <v>Jul.</v>
      </c>
      <c r="C83" s="285">
        <v>4.2696860000000001</v>
      </c>
      <c r="D83" s="285">
        <v>11.681711973333332</v>
      </c>
    </row>
    <row r="84" spans="1:4" x14ac:dyDescent="0.35">
      <c r="B84" s="285" t="str">
        <f>[2]Data!A127</f>
        <v>Aug.</v>
      </c>
      <c r="C84" s="285">
        <v>8.4586240000000004</v>
      </c>
      <c r="D84" s="285">
        <v>10.739502113333334</v>
      </c>
    </row>
    <row r="85" spans="1:4" x14ac:dyDescent="0.35">
      <c r="B85" s="285" t="str">
        <f>[2]Data!A128</f>
        <v>Sep.</v>
      </c>
      <c r="C85" s="285">
        <v>3.7028329999999996</v>
      </c>
      <c r="D85" s="285">
        <v>10.928926799999999</v>
      </c>
    </row>
    <row r="86" spans="1:4" x14ac:dyDescent="0.35">
      <c r="B86" s="285" t="str">
        <f>[2]Data!A129</f>
        <v>Oct.</v>
      </c>
      <c r="C86" s="285">
        <v>4.4510820000000004</v>
      </c>
      <c r="D86" s="285">
        <v>15.320657199999999</v>
      </c>
    </row>
    <row r="87" spans="1:4" x14ac:dyDescent="0.35">
      <c r="B87" s="285" t="str">
        <f>[2]Data!A130</f>
        <v>Nov.</v>
      </c>
      <c r="C87" s="285">
        <v>4.4290769999999995</v>
      </c>
      <c r="D87" s="285">
        <v>11.946706243333333</v>
      </c>
    </row>
    <row r="88" spans="1:4" x14ac:dyDescent="0.35">
      <c r="B88" s="285" t="str">
        <f>[2]Data!A131</f>
        <v>Dec.</v>
      </c>
      <c r="C88" s="285">
        <v>6.1183190000000005</v>
      </c>
      <c r="D88" s="285">
        <v>21.863883666666663</v>
      </c>
    </row>
    <row r="89" spans="1:4" x14ac:dyDescent="0.35">
      <c r="A89" s="285">
        <f>A77+1</f>
        <v>2000</v>
      </c>
      <c r="B89" s="285" t="str">
        <f>[2]Data!A134</f>
        <v>Jan.</v>
      </c>
      <c r="C89" s="285">
        <v>4.37052</v>
      </c>
      <c r="D89" s="285">
        <v>11.065978976666667</v>
      </c>
    </row>
    <row r="90" spans="1:4" x14ac:dyDescent="0.35">
      <c r="B90" s="285" t="str">
        <f>[2]Data!A135</f>
        <v>Feb.</v>
      </c>
      <c r="C90" s="285">
        <v>5.2082809999999995</v>
      </c>
      <c r="D90" s="285">
        <v>12.07415146</v>
      </c>
    </row>
    <row r="91" spans="1:4" x14ac:dyDescent="0.35">
      <c r="B91" s="285" t="str">
        <f>[2]Data!A136</f>
        <v>Mar.</v>
      </c>
      <c r="C91" s="285">
        <v>5.1399559999999997</v>
      </c>
      <c r="D91" s="285">
        <v>11.801140583333334</v>
      </c>
    </row>
    <row r="92" spans="1:4" x14ac:dyDescent="0.35">
      <c r="B92" s="285" t="str">
        <f>[2]Data!A137</f>
        <v>Apr.</v>
      </c>
      <c r="C92" s="285">
        <v>4.9619900000000001</v>
      </c>
      <c r="D92" s="285">
        <v>9.3076974099999994</v>
      </c>
    </row>
    <row r="93" spans="1:4" x14ac:dyDescent="0.35">
      <c r="B93" s="285" t="str">
        <f>[2]Data!A138</f>
        <v>May</v>
      </c>
      <c r="C93" s="285">
        <v>6.2673962400000001</v>
      </c>
      <c r="D93" s="285">
        <v>12.454695126666666</v>
      </c>
    </row>
    <row r="94" spans="1:4" x14ac:dyDescent="0.35">
      <c r="B94" s="285" t="str">
        <f>[2]Data!A139</f>
        <v>Jun.</v>
      </c>
      <c r="C94" s="285">
        <v>5.807626</v>
      </c>
      <c r="D94" s="285">
        <v>12.311445616666667</v>
      </c>
    </row>
    <row r="95" spans="1:4" x14ac:dyDescent="0.35">
      <c r="B95" s="285" t="str">
        <f>[2]Data!A140</f>
        <v>Jul.</v>
      </c>
      <c r="C95" s="285">
        <v>5.0757840000000005</v>
      </c>
      <c r="D95" s="285">
        <v>15.219015906666666</v>
      </c>
    </row>
    <row r="96" spans="1:4" x14ac:dyDescent="0.35">
      <c r="B96" s="285" t="str">
        <f>[2]Data!A141</f>
        <v>Aug.</v>
      </c>
      <c r="C96" s="285">
        <v>7.4051179999999999</v>
      </c>
      <c r="D96" s="285">
        <v>21.811074153333333</v>
      </c>
    </row>
    <row r="97" spans="1:4" x14ac:dyDescent="0.35">
      <c r="B97" s="285" t="str">
        <f>[2]Data!A142</f>
        <v>Sep.</v>
      </c>
      <c r="C97" s="285">
        <v>9.2713590000000003</v>
      </c>
      <c r="D97" s="285">
        <v>13.472388039999998</v>
      </c>
    </row>
    <row r="98" spans="1:4" x14ac:dyDescent="0.35">
      <c r="B98" s="285" t="str">
        <f>[2]Data!A143</f>
        <v>Oct.</v>
      </c>
      <c r="C98" s="285">
        <v>8.7132269999999998</v>
      </c>
      <c r="D98" s="285">
        <v>14.290306006666665</v>
      </c>
    </row>
    <row r="99" spans="1:4" x14ac:dyDescent="0.35">
      <c r="B99" s="285" t="str">
        <f>[2]Data!A144</f>
        <v>Nov.</v>
      </c>
      <c r="C99" s="285">
        <v>8.9456369999999996</v>
      </c>
      <c r="D99" s="285">
        <v>12.43978688</v>
      </c>
    </row>
    <row r="100" spans="1:4" x14ac:dyDescent="0.35">
      <c r="B100" s="285" t="str">
        <f>[2]Data!A145</f>
        <v>Dec.</v>
      </c>
      <c r="C100" s="285">
        <v>22.265109000000002</v>
      </c>
      <c r="D100" s="285">
        <v>25.979681339999996</v>
      </c>
    </row>
    <row r="101" spans="1:4" x14ac:dyDescent="0.35">
      <c r="A101" s="285">
        <f>A89+1</f>
        <v>2001</v>
      </c>
      <c r="B101" s="285" t="str">
        <f>[2]Data!A148</f>
        <v>Jan.</v>
      </c>
      <c r="C101" s="285">
        <v>8.7167290000000008</v>
      </c>
      <c r="D101" s="285">
        <v>11.014347903333334</v>
      </c>
    </row>
    <row r="102" spans="1:4" x14ac:dyDescent="0.35">
      <c r="B102" s="285" t="str">
        <f>[2]Data!A149</f>
        <v>Feb.</v>
      </c>
      <c r="C102" s="285">
        <v>11.495282</v>
      </c>
      <c r="D102" s="285">
        <v>10.060021973333335</v>
      </c>
    </row>
    <row r="103" spans="1:4" x14ac:dyDescent="0.35">
      <c r="B103" s="285" t="str">
        <f>[2]Data!A150</f>
        <v>Mar.</v>
      </c>
      <c r="C103" s="285">
        <v>15.945695000000001</v>
      </c>
      <c r="D103" s="285">
        <v>14.262866089999999</v>
      </c>
    </row>
    <row r="104" spans="1:4" x14ac:dyDescent="0.35">
      <c r="B104" s="285" t="str">
        <f>[2]Data!A151</f>
        <v>Apr.</v>
      </c>
      <c r="C104" s="285">
        <v>13.229141</v>
      </c>
      <c r="D104" s="285">
        <v>13.447573106666667</v>
      </c>
    </row>
    <row r="105" spans="1:4" x14ac:dyDescent="0.35">
      <c r="B105" s="285" t="str">
        <f>[2]Data!A152</f>
        <v>May</v>
      </c>
      <c r="C105" s="285">
        <v>21.483080000000001</v>
      </c>
      <c r="D105" s="285">
        <v>13.871930276666665</v>
      </c>
    </row>
    <row r="106" spans="1:4" x14ac:dyDescent="0.35">
      <c r="B106" s="285" t="str">
        <f>[2]Data!A153</f>
        <v>Jun.</v>
      </c>
      <c r="C106" s="285">
        <v>17.103207999999999</v>
      </c>
      <c r="D106" s="285">
        <v>13.181433083333333</v>
      </c>
    </row>
    <row r="107" spans="1:4" x14ac:dyDescent="0.35">
      <c r="B107" s="285" t="str">
        <f>[2]Data!A154</f>
        <v>Jul.</v>
      </c>
      <c r="C107" s="285">
        <v>15.279655999999999</v>
      </c>
      <c r="D107" s="285">
        <v>13.902185893333332</v>
      </c>
    </row>
    <row r="108" spans="1:4" x14ac:dyDescent="0.35">
      <c r="B108" s="285" t="str">
        <f>[2]Data!A155</f>
        <v>Aug.</v>
      </c>
      <c r="C108" s="285">
        <v>17.727598</v>
      </c>
      <c r="D108" s="285">
        <v>14.682723749999999</v>
      </c>
    </row>
    <row r="109" spans="1:4" x14ac:dyDescent="0.35">
      <c r="B109" s="285" t="str">
        <f>[2]Data!A156</f>
        <v>Sep.</v>
      </c>
      <c r="C109" s="285">
        <v>14.179966</v>
      </c>
      <c r="D109" s="285">
        <v>10.717711769999998</v>
      </c>
    </row>
    <row r="110" spans="1:4" x14ac:dyDescent="0.35">
      <c r="B110" s="285" t="str">
        <f>[2]Data!A157</f>
        <v>Oct.</v>
      </c>
      <c r="C110" s="285">
        <v>17.120839</v>
      </c>
      <c r="D110" s="285">
        <v>15.3758138111</v>
      </c>
    </row>
    <row r="111" spans="1:4" x14ac:dyDescent="0.35">
      <c r="B111" s="285" t="str">
        <f>[2]Data!A158</f>
        <v>Nov.</v>
      </c>
      <c r="C111" s="285">
        <v>18.991937999999998</v>
      </c>
      <c r="D111" s="285">
        <v>18.888308429999999</v>
      </c>
    </row>
    <row r="112" spans="1:4" x14ac:dyDescent="0.35">
      <c r="B112" s="285" t="str">
        <f>[2]Data!A159</f>
        <v>Dec.</v>
      </c>
      <c r="C112" s="285">
        <v>16.505054000000001</v>
      </c>
      <c r="D112" s="285">
        <v>23.987580129583332</v>
      </c>
    </row>
    <row r="113" spans="1:4" x14ac:dyDescent="0.35">
      <c r="A113" s="285">
        <f>A101+1</f>
        <v>2002</v>
      </c>
      <c r="B113" s="285" t="str">
        <f>[2]Data!A162</f>
        <v>Jan.</v>
      </c>
      <c r="C113" s="285">
        <v>13.556663</v>
      </c>
      <c r="D113" s="285">
        <v>14.494</v>
      </c>
    </row>
    <row r="114" spans="1:4" x14ac:dyDescent="0.35">
      <c r="B114" s="285" t="str">
        <f>[2]Data!A163</f>
        <v>Feb.</v>
      </c>
      <c r="C114" s="285">
        <v>16.447372999999999</v>
      </c>
      <c r="D114" s="285">
        <v>16.34</v>
      </c>
    </row>
    <row r="115" spans="1:4" x14ac:dyDescent="0.35">
      <c r="B115" s="285" t="str">
        <f>[2]Data!A164</f>
        <v>Mar.</v>
      </c>
      <c r="C115" s="285">
        <v>17.952019</v>
      </c>
      <c r="D115" s="285">
        <v>19.189999999999998</v>
      </c>
    </row>
    <row r="116" spans="1:4" x14ac:dyDescent="0.35">
      <c r="B116" s="285" t="str">
        <f>[2]Data!A165</f>
        <v>Apr.</v>
      </c>
      <c r="C116" s="285">
        <v>14.093159</v>
      </c>
      <c r="D116" s="285">
        <v>17.5</v>
      </c>
    </row>
    <row r="117" spans="1:4" x14ac:dyDescent="0.35">
      <c r="B117" s="285" t="str">
        <f>[2]Data!A166</f>
        <v>May</v>
      </c>
      <c r="C117" s="285">
        <v>19.258700000000001</v>
      </c>
      <c r="D117" s="285">
        <v>15.61</v>
      </c>
    </row>
    <row r="118" spans="1:4" x14ac:dyDescent="0.35">
      <c r="B118" s="285" t="str">
        <f>[2]Data!A167</f>
        <v>Jun.</v>
      </c>
      <c r="C118" s="285">
        <v>17.655408999999999</v>
      </c>
      <c r="D118" s="285">
        <v>11.55</v>
      </c>
    </row>
    <row r="119" spans="1:4" x14ac:dyDescent="0.35">
      <c r="B119" s="285" t="str">
        <f>[2]Data!A168</f>
        <v>Jul.</v>
      </c>
      <c r="C119" s="285">
        <v>16.211734</v>
      </c>
      <c r="D119" s="285">
        <v>17.060000000000002</v>
      </c>
    </row>
    <row r="120" spans="1:4" x14ac:dyDescent="0.35">
      <c r="B120" s="285" t="str">
        <f>[2]Data!A169</f>
        <v>Aug.</v>
      </c>
      <c r="C120" s="285">
        <v>18.591872000000002</v>
      </c>
      <c r="D120" s="285">
        <v>14.68</v>
      </c>
    </row>
    <row r="121" spans="1:4" x14ac:dyDescent="0.35">
      <c r="B121" s="285" t="str">
        <f>[2]Data!A170</f>
        <v>Sep.</v>
      </c>
      <c r="C121" s="285">
        <v>17.932767999999999</v>
      </c>
      <c r="D121" s="285">
        <v>11.47</v>
      </c>
    </row>
    <row r="122" spans="1:4" x14ac:dyDescent="0.35">
      <c r="B122" s="285" t="str">
        <f>[2]Data!A171</f>
        <v>Oct.</v>
      </c>
      <c r="C122" s="285">
        <v>19.548555</v>
      </c>
      <c r="D122" s="285">
        <v>19.059999999999999</v>
      </c>
    </row>
    <row r="123" spans="1:4" x14ac:dyDescent="0.35">
      <c r="B123" s="285" t="str">
        <f>[2]Data!A172</f>
        <v>Nov.</v>
      </c>
      <c r="C123" s="285">
        <v>22.993822000000002</v>
      </c>
      <c r="D123" s="285">
        <v>15.540000000000001</v>
      </c>
    </row>
    <row r="124" spans="1:4" x14ac:dyDescent="0.35">
      <c r="B124" s="285" t="str">
        <f>[2]Data!A173</f>
        <v>Dec.</v>
      </c>
      <c r="C124" s="285">
        <v>18.314450999999998</v>
      </c>
      <c r="D124" s="285">
        <v>22.58</v>
      </c>
    </row>
    <row r="125" spans="1:4" x14ac:dyDescent="0.35">
      <c r="A125" s="285">
        <f>A113+1</f>
        <v>2003</v>
      </c>
      <c r="B125" s="285" t="str">
        <f>[2]Data!A176</f>
        <v>Jan.</v>
      </c>
      <c r="C125" s="285">
        <v>14.667259</v>
      </c>
      <c r="D125" s="285">
        <v>17.3201</v>
      </c>
    </row>
    <row r="126" spans="1:4" x14ac:dyDescent="0.35">
      <c r="B126" s="285" t="str">
        <f>[2]Data!A177</f>
        <v>Feb.</v>
      </c>
      <c r="C126" s="285">
        <v>19.174343</v>
      </c>
      <c r="D126" s="285">
        <v>17.8157</v>
      </c>
    </row>
    <row r="127" spans="1:4" x14ac:dyDescent="0.35">
      <c r="B127" s="285" t="str">
        <f>[2]Data!A178</f>
        <v>Mar.</v>
      </c>
      <c r="C127" s="285">
        <v>18.364080999999999</v>
      </c>
      <c r="D127" s="285">
        <v>14.430099999999999</v>
      </c>
    </row>
    <row r="128" spans="1:4" x14ac:dyDescent="0.35">
      <c r="B128" s="285" t="str">
        <f>[2]Data!A179</f>
        <v>Apr.</v>
      </c>
      <c r="C128" s="285">
        <v>18.106922000000001</v>
      </c>
      <c r="D128" s="285">
        <v>16.749699999999997</v>
      </c>
    </row>
    <row r="129" spans="1:4" x14ac:dyDescent="0.35">
      <c r="B129" s="285" t="str">
        <f>[2]Data!A180</f>
        <v>May</v>
      </c>
      <c r="C129" s="285">
        <v>24.525121649999999</v>
      </c>
      <c r="D129" s="285">
        <v>17.39</v>
      </c>
    </row>
    <row r="130" spans="1:4" x14ac:dyDescent="0.35">
      <c r="B130" s="285" t="str">
        <f>[2]Data!A181</f>
        <v>Jun.</v>
      </c>
      <c r="C130" s="285">
        <v>13.993728365999999</v>
      </c>
      <c r="D130" s="285">
        <v>14.8713</v>
      </c>
    </row>
    <row r="131" spans="1:4" x14ac:dyDescent="0.35">
      <c r="B131" s="285" t="str">
        <f>[2]Data!A182</f>
        <v>Jul.</v>
      </c>
      <c r="C131" s="285">
        <v>23.958318609999999</v>
      </c>
      <c r="D131" s="285">
        <v>22.018599999999999</v>
      </c>
    </row>
    <row r="132" spans="1:4" x14ac:dyDescent="0.35">
      <c r="B132" s="285" t="str">
        <f>[2]Data!A183</f>
        <v>Aug.</v>
      </c>
      <c r="C132" s="285">
        <v>24.761175739999999</v>
      </c>
      <c r="D132" s="285">
        <v>17.134100000000004</v>
      </c>
    </row>
    <row r="133" spans="1:4" x14ac:dyDescent="0.35">
      <c r="B133" s="285" t="str">
        <f>[2]Data!A184</f>
        <v>Sep.</v>
      </c>
      <c r="C133" s="285">
        <v>18.712983600000001</v>
      </c>
      <c r="D133" s="285">
        <v>12.0329</v>
      </c>
    </row>
    <row r="134" spans="1:4" x14ac:dyDescent="0.35">
      <c r="B134" s="285" t="str">
        <f>[2]Data!A185</f>
        <v>Oct.</v>
      </c>
      <c r="C134" s="285">
        <v>23.913706980000001</v>
      </c>
      <c r="D134" s="285">
        <v>16.4407</v>
      </c>
    </row>
    <row r="135" spans="1:4" x14ac:dyDescent="0.35">
      <c r="B135" s="285" t="str">
        <f>[2]Data!A186</f>
        <v>Nov.</v>
      </c>
      <c r="C135" s="285">
        <v>17.16144092</v>
      </c>
      <c r="D135" s="285">
        <v>18.859799999999996</v>
      </c>
    </row>
    <row r="136" spans="1:4" x14ac:dyDescent="0.35">
      <c r="B136" s="285" t="str">
        <f>[2]Data!A187</f>
        <v>Dec.</v>
      </c>
      <c r="C136" s="285">
        <v>15.03961812</v>
      </c>
      <c r="D136" s="285">
        <v>27.133199999999999</v>
      </c>
    </row>
    <row r="137" spans="1:4" x14ac:dyDescent="0.35">
      <c r="A137" s="285">
        <f>A125+1</f>
        <v>2004</v>
      </c>
      <c r="B137" s="285" t="str">
        <f>[2]Data!A190</f>
        <v>Jan.</v>
      </c>
      <c r="C137" s="285">
        <v>20.734973699999998</v>
      </c>
      <c r="D137" s="285">
        <v>20.97</v>
      </c>
    </row>
    <row r="138" spans="1:4" x14ac:dyDescent="0.35">
      <c r="B138" s="285" t="str">
        <f>[2]Data!A191</f>
        <v>Feb.</v>
      </c>
      <c r="C138" s="285">
        <v>17.335106699999997</v>
      </c>
      <c r="D138" s="285">
        <v>18.52</v>
      </c>
    </row>
    <row r="139" spans="1:4" x14ac:dyDescent="0.35">
      <c r="B139" s="285" t="str">
        <f>[2]Data!A192</f>
        <v>Mar.</v>
      </c>
      <c r="C139" s="285">
        <v>14.81571125</v>
      </c>
      <c r="D139" s="285">
        <v>25.38</v>
      </c>
    </row>
    <row r="140" spans="1:4" x14ac:dyDescent="0.35">
      <c r="B140" s="285" t="str">
        <f>[2]Data!A193</f>
        <v>Apr.</v>
      </c>
      <c r="C140" s="285">
        <v>21.852767629999999</v>
      </c>
      <c r="D140" s="285">
        <v>20.560000000000002</v>
      </c>
    </row>
    <row r="141" spans="1:4" x14ac:dyDescent="0.35">
      <c r="B141" s="285" t="str">
        <f>[2]Data!A194</f>
        <v>May</v>
      </c>
      <c r="C141" s="285">
        <v>36.30912301</v>
      </c>
      <c r="D141" s="285">
        <v>20.53</v>
      </c>
    </row>
    <row r="142" spans="1:4" x14ac:dyDescent="0.35">
      <c r="B142" s="285" t="str">
        <f>[2]Data!A195</f>
        <v>Jun.</v>
      </c>
      <c r="C142" s="285">
        <v>19.967047129999997</v>
      </c>
      <c r="D142" s="285">
        <v>15.879999999999999</v>
      </c>
    </row>
    <row r="143" spans="1:4" x14ac:dyDescent="0.35">
      <c r="B143" s="285" t="str">
        <f>[2]Data!A196</f>
        <v>Jul.</v>
      </c>
      <c r="C143" s="285">
        <v>29.391322480000007</v>
      </c>
      <c r="D143" s="285">
        <v>16.287800000000001</v>
      </c>
    </row>
    <row r="144" spans="1:4" x14ac:dyDescent="0.35">
      <c r="B144" s="285" t="str">
        <f>[2]Data!A197</f>
        <v>Aug.</v>
      </c>
      <c r="C144" s="285">
        <v>24.004358310000001</v>
      </c>
      <c r="D144" s="285">
        <v>25.6509</v>
      </c>
    </row>
    <row r="145" spans="1:4" x14ac:dyDescent="0.35">
      <c r="B145" s="285" t="str">
        <f>[2]Data!A198</f>
        <v>Sep.</v>
      </c>
      <c r="C145" s="285">
        <v>21.400444120000003</v>
      </c>
      <c r="D145" s="285">
        <v>11.499600000000001</v>
      </c>
    </row>
    <row r="146" spans="1:4" x14ac:dyDescent="0.35">
      <c r="B146" s="285" t="str">
        <f>[2]Data!A199</f>
        <v>Oct.</v>
      </c>
      <c r="C146" s="285">
        <v>27.729428800000001</v>
      </c>
      <c r="D146" s="285">
        <v>22.785900000000002</v>
      </c>
    </row>
    <row r="147" spans="1:4" x14ac:dyDescent="0.35">
      <c r="B147" s="285" t="str">
        <f>[2]Data!A200</f>
        <v>Nov.</v>
      </c>
      <c r="C147" s="285">
        <v>23.94740651</v>
      </c>
      <c r="D147" s="285">
        <v>25.646899999999999</v>
      </c>
    </row>
    <row r="148" spans="1:4" x14ac:dyDescent="0.35">
      <c r="B148" s="285" t="str">
        <f>[2]Data!A201</f>
        <v>Dec.</v>
      </c>
      <c r="C148" s="285">
        <v>39.86617949</v>
      </c>
      <c r="D148" s="285">
        <v>24.3431</v>
      </c>
    </row>
    <row r="149" spans="1:4" x14ac:dyDescent="0.35">
      <c r="A149" s="285">
        <f>A137+1</f>
        <v>2005</v>
      </c>
      <c r="B149" s="285" t="str">
        <f>[2]Data!A204</f>
        <v>Jan.</v>
      </c>
      <c r="C149" s="285">
        <v>17.682476780000002</v>
      </c>
      <c r="D149" s="285">
        <v>16.477599999999999</v>
      </c>
    </row>
    <row r="150" spans="1:4" x14ac:dyDescent="0.35">
      <c r="B150" s="285" t="str">
        <f>[2]Data!A205</f>
        <v>Feb.</v>
      </c>
      <c r="C150" s="285">
        <v>23.030106310000001</v>
      </c>
      <c r="D150" s="285">
        <v>22.2361</v>
      </c>
    </row>
    <row r="151" spans="1:4" x14ac:dyDescent="0.35">
      <c r="B151" s="285" t="str">
        <f>[2]Data!A206</f>
        <v>Mar.</v>
      </c>
      <c r="C151" s="285">
        <v>16.057830359999997</v>
      </c>
      <c r="D151" s="285">
        <v>25.317499999999999</v>
      </c>
    </row>
    <row r="152" spans="1:4" x14ac:dyDescent="0.35">
      <c r="B152" s="285" t="str">
        <f>[2]Data!A207</f>
        <v>Apr.</v>
      </c>
      <c r="C152" s="285">
        <v>31.922913700000002</v>
      </c>
      <c r="D152" s="285">
        <v>29.557499999999997</v>
      </c>
    </row>
    <row r="153" spans="1:4" x14ac:dyDescent="0.35">
      <c r="B153" s="285" t="str">
        <f>[2]Data!A208</f>
        <v>May</v>
      </c>
      <c r="C153" s="285">
        <v>24.1215352</v>
      </c>
      <c r="D153" s="285">
        <v>28.9544</v>
      </c>
    </row>
    <row r="154" spans="1:4" x14ac:dyDescent="0.35">
      <c r="B154" s="285" t="str">
        <f>[2]Data!A209</f>
        <v>Jun.</v>
      </c>
      <c r="C154" s="285">
        <v>24.584822169999999</v>
      </c>
      <c r="D154" s="285">
        <v>20.195800000000002</v>
      </c>
    </row>
    <row r="155" spans="1:4" x14ac:dyDescent="0.35">
      <c r="B155" s="285" t="str">
        <f>[2]Data!A210</f>
        <v>Jul.</v>
      </c>
      <c r="C155" s="285">
        <v>29.386464090000004</v>
      </c>
      <c r="D155" s="285">
        <v>24.823999999999998</v>
      </c>
    </row>
    <row r="156" spans="1:4" x14ac:dyDescent="0.35">
      <c r="B156" s="285" t="str">
        <f>[2]Data!A211</f>
        <v>Aug.</v>
      </c>
      <c r="C156" s="285">
        <v>25.785298730000001</v>
      </c>
      <c r="D156" s="285">
        <v>24.959999999999997</v>
      </c>
    </row>
    <row r="157" spans="1:4" x14ac:dyDescent="0.35">
      <c r="B157" s="285" t="str">
        <f>[2]Data!A212</f>
        <v>Sep.</v>
      </c>
      <c r="C157" s="285">
        <v>26.80656342</v>
      </c>
      <c r="D157" s="285">
        <v>23.3659</v>
      </c>
    </row>
    <row r="158" spans="1:4" x14ac:dyDescent="0.35">
      <c r="B158" s="285" t="str">
        <f>[2]Data!A213</f>
        <v>Oct.</v>
      </c>
      <c r="C158" s="285">
        <v>25.113252880000005</v>
      </c>
      <c r="D158" s="285">
        <v>28.802199999999999</v>
      </c>
    </row>
    <row r="159" spans="1:4" x14ac:dyDescent="0.35">
      <c r="B159" s="285" t="str">
        <f>[2]Data!A214</f>
        <v>Nov.</v>
      </c>
      <c r="C159" s="285">
        <v>26.022389340000004</v>
      </c>
      <c r="D159" s="285">
        <v>24.38</v>
      </c>
    </row>
    <row r="160" spans="1:4" x14ac:dyDescent="0.35">
      <c r="B160" s="285" t="str">
        <f>[2]Data!A215</f>
        <v>Dec.</v>
      </c>
      <c r="C160" s="285">
        <v>40.407469460000002</v>
      </c>
      <c r="D160" s="285">
        <v>34.674800000000005</v>
      </c>
    </row>
    <row r="161" spans="1:4" x14ac:dyDescent="0.35">
      <c r="A161" s="285">
        <f>A149+1</f>
        <v>2006</v>
      </c>
      <c r="B161" s="285" t="str">
        <f>[2]Data!A218</f>
        <v>Jan.</v>
      </c>
      <c r="C161" s="285">
        <v>25.288924510000001</v>
      </c>
      <c r="D161" s="285">
        <v>27.473800000000004</v>
      </c>
    </row>
    <row r="162" spans="1:4" x14ac:dyDescent="0.35">
      <c r="B162" s="285" t="str">
        <f>[2]Data!A219</f>
        <v>Feb.</v>
      </c>
      <c r="C162" s="285">
        <v>28.400451049999997</v>
      </c>
      <c r="D162" s="285">
        <v>26.025299999999998</v>
      </c>
    </row>
    <row r="163" spans="1:4" x14ac:dyDescent="0.35">
      <c r="B163" s="285" t="str">
        <f>[2]Data!A220</f>
        <v>Mar.</v>
      </c>
      <c r="C163" s="285">
        <v>37.920929639999997</v>
      </c>
      <c r="D163" s="285">
        <v>27.070699999999999</v>
      </c>
    </row>
    <row r="164" spans="1:4" x14ac:dyDescent="0.35">
      <c r="B164" s="285" t="str">
        <f>[2]Data!A221</f>
        <v>Apr.</v>
      </c>
      <c r="C164" s="285">
        <v>24.467704579999999</v>
      </c>
      <c r="D164" s="285">
        <v>19.793900000000001</v>
      </c>
    </row>
    <row r="165" spans="1:4" x14ac:dyDescent="0.35">
      <c r="B165" s="285" t="str">
        <f>[2]Data!A222</f>
        <v>May</v>
      </c>
      <c r="C165" s="285">
        <v>30.226598449999997</v>
      </c>
      <c r="D165" s="285">
        <v>26.386400000000002</v>
      </c>
    </row>
    <row r="166" spans="1:4" x14ac:dyDescent="0.35">
      <c r="B166" s="285" t="str">
        <f>[2]Data!A223</f>
        <v>Jun.</v>
      </c>
      <c r="C166" s="285">
        <v>35.949409629999998</v>
      </c>
      <c r="D166" s="285">
        <v>29.898799999999998</v>
      </c>
    </row>
    <row r="167" spans="1:4" x14ac:dyDescent="0.35">
      <c r="B167" s="285" t="str">
        <f>[2]Data!A224</f>
        <v>Jul.</v>
      </c>
      <c r="C167" s="285">
        <v>24.51016941</v>
      </c>
      <c r="D167" s="285">
        <v>17.6631</v>
      </c>
    </row>
    <row r="168" spans="1:4" x14ac:dyDescent="0.35">
      <c r="B168" s="285" t="str">
        <f>[2]Data!A225</f>
        <v>Aug.</v>
      </c>
      <c r="C168" s="285">
        <v>23.569885970000001</v>
      </c>
      <c r="D168" s="285">
        <v>32.145099999999999</v>
      </c>
    </row>
    <row r="169" spans="1:4" x14ac:dyDescent="0.35">
      <c r="B169" s="285" t="str">
        <f>[2]Data!A226</f>
        <v>Sep.</v>
      </c>
      <c r="C169" s="285">
        <v>30.36359195</v>
      </c>
      <c r="D169" s="285">
        <v>22.884</v>
      </c>
    </row>
    <row r="170" spans="1:4" x14ac:dyDescent="0.35">
      <c r="B170" s="285" t="str">
        <f>[2]Data!A227</f>
        <v>Oct.</v>
      </c>
      <c r="C170" s="285">
        <v>18.33933451</v>
      </c>
      <c r="D170" s="285">
        <v>21.353299999999997</v>
      </c>
    </row>
    <row r="171" spans="1:4" x14ac:dyDescent="0.35">
      <c r="B171" s="285" t="str">
        <f>[2]Data!A228</f>
        <v>Nov.</v>
      </c>
      <c r="C171" s="285">
        <v>19.185344920000002</v>
      </c>
      <c r="D171" s="285">
        <v>23.254300000000001</v>
      </c>
    </row>
    <row r="172" spans="1:4" x14ac:dyDescent="0.35">
      <c r="B172" s="285" t="str">
        <f>[2]Data!A229</f>
        <v>Dec.</v>
      </c>
      <c r="C172" s="285">
        <v>24.069397779999999</v>
      </c>
      <c r="D172" s="285">
        <v>37.571199999999997</v>
      </c>
    </row>
    <row r="173" spans="1:4" x14ac:dyDescent="0.35">
      <c r="A173" s="285">
        <f>A161+1</f>
        <v>2007</v>
      </c>
      <c r="B173" s="285" t="str">
        <f>[2]Data!A232</f>
        <v>Jan.</v>
      </c>
      <c r="C173" s="285">
        <v>18.612299189999998</v>
      </c>
      <c r="D173" s="285">
        <v>22.1053</v>
      </c>
    </row>
    <row r="174" spans="1:4" x14ac:dyDescent="0.35">
      <c r="B174" s="285" t="str">
        <f>[2]Data!A233</f>
        <v>Feb.</v>
      </c>
      <c r="C174" s="285">
        <v>18.727524710000001</v>
      </c>
      <c r="D174" s="285">
        <v>19.685200000000002</v>
      </c>
    </row>
    <row r="175" spans="1:4" x14ac:dyDescent="0.35">
      <c r="B175" s="285" t="str">
        <f>[2]Data!A234</f>
        <v>Mar.</v>
      </c>
      <c r="C175" s="285">
        <v>19.747968370000002</v>
      </c>
      <c r="D175" s="285">
        <v>25.243300000000001</v>
      </c>
    </row>
    <row r="176" spans="1:4" x14ac:dyDescent="0.35">
      <c r="B176" s="285" t="str">
        <f>[2]Data!A235</f>
        <v>Apr.</v>
      </c>
      <c r="C176" s="285">
        <v>18.664343599999999</v>
      </c>
      <c r="D176" s="285">
        <v>20.721299999999999</v>
      </c>
    </row>
    <row r="177" spans="1:4" x14ac:dyDescent="0.35">
      <c r="B177" s="285" t="str">
        <f>[2]Data!A236</f>
        <v>May</v>
      </c>
      <c r="C177" s="285">
        <v>17.254599149999997</v>
      </c>
      <c r="D177" s="285">
        <v>24.675000000000001</v>
      </c>
    </row>
    <row r="178" spans="1:4" x14ac:dyDescent="0.35">
      <c r="B178" s="285" t="str">
        <f>[2]Data!A237</f>
        <v>Jun.</v>
      </c>
      <c r="C178" s="285">
        <v>29.12814204</v>
      </c>
      <c r="D178" s="285">
        <v>29.576600000000003</v>
      </c>
    </row>
    <row r="179" spans="1:4" x14ac:dyDescent="0.35">
      <c r="B179" s="285" t="str">
        <f>[2]Data!A238</f>
        <v>Jul.</v>
      </c>
      <c r="C179" s="285">
        <v>23.715558520000002</v>
      </c>
      <c r="D179" s="285">
        <v>29.773299999999999</v>
      </c>
    </row>
    <row r="180" spans="1:4" x14ac:dyDescent="0.35">
      <c r="B180" s="285" t="str">
        <f>[2]Data!A239</f>
        <v>Aug.</v>
      </c>
      <c r="C180" s="285">
        <v>25.601697789999999</v>
      </c>
      <c r="D180" s="285">
        <v>33.442699999999995</v>
      </c>
    </row>
    <row r="181" spans="1:4" x14ac:dyDescent="0.35">
      <c r="B181" s="285" t="str">
        <f>[2]Data!A240</f>
        <v>Sep.</v>
      </c>
      <c r="C181" s="285">
        <v>16.785971979999999</v>
      </c>
      <c r="D181" s="285">
        <v>24.756600000000002</v>
      </c>
    </row>
    <row r="182" spans="1:4" x14ac:dyDescent="0.35">
      <c r="B182" s="285" t="str">
        <f>[2]Data!A241</f>
        <v>Oct.</v>
      </c>
      <c r="C182" s="285">
        <v>11.751928580000001</v>
      </c>
      <c r="D182" s="285">
        <v>26.575599999999998</v>
      </c>
    </row>
    <row r="183" spans="1:4" x14ac:dyDescent="0.35">
      <c r="B183" s="285" t="str">
        <f>[2]Data!A242</f>
        <v>Nov.</v>
      </c>
      <c r="C183" s="285">
        <v>19.964729370000001</v>
      </c>
      <c r="D183" s="285">
        <v>23.6907</v>
      </c>
    </row>
    <row r="184" spans="1:4" x14ac:dyDescent="0.35">
      <c r="B184" s="285" t="str">
        <f>[2]Data!A243</f>
        <v>Dec.</v>
      </c>
      <c r="C184" s="285">
        <v>36.323686909999999</v>
      </c>
      <c r="D184" s="285">
        <v>34.747199999999999</v>
      </c>
    </row>
    <row r="185" spans="1:4" x14ac:dyDescent="0.35">
      <c r="A185" s="285">
        <f>A173+1</f>
        <v>2008</v>
      </c>
      <c r="B185" s="285" t="str">
        <f>[2]Data!A246</f>
        <v>Jan.</v>
      </c>
      <c r="C185" s="285">
        <v>12.0337721</v>
      </c>
      <c r="D185" s="285">
        <v>29.173000000000002</v>
      </c>
    </row>
    <row r="186" spans="1:4" x14ac:dyDescent="0.35">
      <c r="B186" s="285" t="str">
        <f>[2]Data!A247</f>
        <v>Feb.</v>
      </c>
      <c r="C186" s="285">
        <v>13.556481339999998</v>
      </c>
      <c r="D186" s="285">
        <v>29.340400000000002</v>
      </c>
    </row>
    <row r="187" spans="1:4" x14ac:dyDescent="0.35">
      <c r="B187" s="285" t="str">
        <f>[2]Data!A248</f>
        <v>Mar.</v>
      </c>
      <c r="C187" s="285">
        <v>14.60415647</v>
      </c>
      <c r="D187" s="285">
        <v>28.8673</v>
      </c>
    </row>
    <row r="188" spans="1:4" x14ac:dyDescent="0.35">
      <c r="B188" s="285" t="str">
        <f>[2]Data!A249</f>
        <v>Apr.</v>
      </c>
      <c r="C188" s="285">
        <v>18.539781229999999</v>
      </c>
      <c r="D188" s="285">
        <v>22.223000000000003</v>
      </c>
    </row>
    <row r="189" spans="1:4" x14ac:dyDescent="0.35">
      <c r="B189" s="285" t="str">
        <f>[2]Data!A250</f>
        <v>May</v>
      </c>
      <c r="C189" s="285">
        <v>13.552934390000001</v>
      </c>
      <c r="D189" s="285">
        <v>32.697900000000004</v>
      </c>
    </row>
    <row r="190" spans="1:4" x14ac:dyDescent="0.35">
      <c r="B190" s="285" t="str">
        <f>[2]Data!A251</f>
        <v>Jun.</v>
      </c>
      <c r="C190" s="285">
        <v>15.873128280000003</v>
      </c>
      <c r="D190" s="285">
        <v>32.268300000000004</v>
      </c>
    </row>
    <row r="191" spans="1:4" x14ac:dyDescent="0.35">
      <c r="B191" s="285" t="str">
        <f>[2]Data!A252</f>
        <v>Jul.</v>
      </c>
      <c r="C191" s="285">
        <v>26.150076310000003</v>
      </c>
      <c r="D191" s="285">
        <v>31.062299999999997</v>
      </c>
    </row>
    <row r="192" spans="1:4" x14ac:dyDescent="0.35">
      <c r="B192" s="285" t="str">
        <f>[2]Data!A253</f>
        <v>Aug.</v>
      </c>
      <c r="C192" s="285">
        <v>18.352875709999999</v>
      </c>
      <c r="D192" s="285">
        <v>36.210700000000003</v>
      </c>
    </row>
    <row r="193" spans="1:4" x14ac:dyDescent="0.35">
      <c r="B193" s="285" t="str">
        <f>[2]Data!A254</f>
        <v>Sep.</v>
      </c>
      <c r="C193" s="285">
        <v>17.714518229999999</v>
      </c>
      <c r="D193" s="285">
        <v>29.600199999999997</v>
      </c>
    </row>
    <row r="194" spans="1:4" x14ac:dyDescent="0.35">
      <c r="B194" s="285" t="str">
        <f>[2]Data!A255</f>
        <v>Oct.</v>
      </c>
      <c r="C194" s="285">
        <v>16.231621650000001</v>
      </c>
      <c r="D194" s="285">
        <v>25.393800000000002</v>
      </c>
    </row>
    <row r="195" spans="1:4" x14ac:dyDescent="0.35">
      <c r="B195" s="285" t="str">
        <f>[2]Data!A256</f>
        <v>Nov.</v>
      </c>
      <c r="C195" s="285">
        <v>11.6607617</v>
      </c>
      <c r="D195" s="285">
        <v>25.527700000000003</v>
      </c>
    </row>
    <row r="196" spans="1:4" x14ac:dyDescent="0.35">
      <c r="B196" s="285" t="str">
        <f>[2]Data!A257</f>
        <v>Dec.</v>
      </c>
      <c r="C196" s="285">
        <v>9.5952834500000019</v>
      </c>
      <c r="D196" s="285">
        <v>38.088000000000001</v>
      </c>
    </row>
    <row r="197" spans="1:4" x14ac:dyDescent="0.35">
      <c r="A197" s="285">
        <f>A185+1</f>
        <v>2009</v>
      </c>
      <c r="B197" s="285" t="str">
        <f>[2]Data!A260</f>
        <v>Jan.</v>
      </c>
      <c r="C197" s="285">
        <v>14.807218919999997</v>
      </c>
      <c r="D197" s="285">
        <v>26.572499999999998</v>
      </c>
    </row>
    <row r="198" spans="1:4" x14ac:dyDescent="0.35">
      <c r="B198" s="285" t="str">
        <f>[2]Data!A261</f>
        <v>Feb.</v>
      </c>
      <c r="C198" s="285">
        <v>21.490803409999984</v>
      </c>
      <c r="D198" s="285">
        <v>29.8386</v>
      </c>
    </row>
    <row r="199" spans="1:4" x14ac:dyDescent="0.35">
      <c r="B199" s="285" t="str">
        <f>[2]Data!A262</f>
        <v>Mar.</v>
      </c>
      <c r="C199" s="285">
        <v>14.119452049999996</v>
      </c>
      <c r="D199" s="285">
        <v>32.600300000000004</v>
      </c>
    </row>
    <row r="200" spans="1:4" x14ac:dyDescent="0.35">
      <c r="B200" s="285" t="str">
        <f>[2]Data!A263</f>
        <v>Apr.</v>
      </c>
      <c r="C200" s="285">
        <v>21.049631950000009</v>
      </c>
      <c r="D200" s="285">
        <v>34.733399999999996</v>
      </c>
    </row>
    <row r="201" spans="1:4" x14ac:dyDescent="0.35">
      <c r="B201" s="285" t="str">
        <f>[2]Data!A264</f>
        <v>May</v>
      </c>
      <c r="C201" s="285">
        <v>30.86951445</v>
      </c>
      <c r="D201" s="285">
        <v>27.916900000000002</v>
      </c>
    </row>
    <row r="202" spans="1:4" x14ac:dyDescent="0.35">
      <c r="B202" s="285" t="str">
        <f>[2]Data!A265</f>
        <v>Jun.</v>
      </c>
      <c r="C202" s="285">
        <v>21.318885350000002</v>
      </c>
      <c r="D202" s="285">
        <v>28.611900000000002</v>
      </c>
    </row>
    <row r="203" spans="1:4" x14ac:dyDescent="0.35">
      <c r="B203" s="285" t="str">
        <f>[2]Data!A266</f>
        <v>Jul.</v>
      </c>
      <c r="C203" s="285">
        <v>29.391713150000015</v>
      </c>
      <c r="D203" s="285">
        <v>30.516899999999996</v>
      </c>
    </row>
    <row r="204" spans="1:4" x14ac:dyDescent="0.35">
      <c r="B204" s="285" t="str">
        <f>[2]Data!A267</f>
        <v>Aug.</v>
      </c>
      <c r="C204" s="285">
        <v>28.600101600000002</v>
      </c>
      <c r="D204" s="285">
        <v>30.071900000000003</v>
      </c>
    </row>
    <row r="205" spans="1:4" x14ac:dyDescent="0.35">
      <c r="B205" s="285" t="str">
        <f>[2]Data!A268</f>
        <v>Sep.</v>
      </c>
      <c r="C205" s="285">
        <v>27.290336770000007</v>
      </c>
      <c r="D205" s="285">
        <v>22.459299999999999</v>
      </c>
    </row>
    <row r="206" spans="1:4" x14ac:dyDescent="0.35">
      <c r="B206" s="285" t="str">
        <f>[2]Data!A269</f>
        <v>Oct.</v>
      </c>
      <c r="C206" s="285">
        <v>33.388137800000003</v>
      </c>
      <c r="D206" s="285">
        <v>36.889799999999994</v>
      </c>
    </row>
    <row r="207" spans="1:4" x14ac:dyDescent="0.35">
      <c r="B207" s="285" t="str">
        <f>[2]Data!A270</f>
        <v>Nov.</v>
      </c>
      <c r="C207" s="285">
        <v>24.146205170000002</v>
      </c>
      <c r="D207" s="285">
        <v>31.111199999999997</v>
      </c>
    </row>
    <row r="208" spans="1:4" x14ac:dyDescent="0.35">
      <c r="B208" s="285" t="str">
        <f>[2]Data!A271</f>
        <v>Dec.</v>
      </c>
      <c r="C208" s="285">
        <v>27.550927359999971</v>
      </c>
      <c r="D208" s="285">
        <v>38.580199999999998</v>
      </c>
    </row>
    <row r="209" spans="1:4" x14ac:dyDescent="0.35">
      <c r="A209" s="285">
        <f>A197+1</f>
        <v>2010</v>
      </c>
      <c r="B209" s="285" t="str">
        <f>[2]Data!A274</f>
        <v>Jan.</v>
      </c>
      <c r="C209" s="285">
        <v>18.940364709999997</v>
      </c>
      <c r="D209" s="285">
        <v>23.412099999999999</v>
      </c>
    </row>
    <row r="210" spans="1:4" x14ac:dyDescent="0.35">
      <c r="B210" s="285" t="str">
        <f>[2]Data!A275</f>
        <v>Feb.</v>
      </c>
      <c r="C210" s="285">
        <v>25.859251820000019</v>
      </c>
      <c r="D210" s="285">
        <v>28.664900000000006</v>
      </c>
    </row>
    <row r="211" spans="1:4" x14ac:dyDescent="0.35">
      <c r="B211" s="285" t="str">
        <f>[2]Data!A276</f>
        <v>Mar.</v>
      </c>
      <c r="C211" s="285">
        <v>18.71082071</v>
      </c>
      <c r="D211" s="285">
        <v>28.747500000000002</v>
      </c>
    </row>
    <row r="212" spans="1:4" x14ac:dyDescent="0.35">
      <c r="B212" s="285" t="str">
        <f>[2]Data!A277</f>
        <v>Apr.</v>
      </c>
      <c r="C212" s="285">
        <v>31.158465659999997</v>
      </c>
      <c r="D212" s="285">
        <v>24.313999999999997</v>
      </c>
    </row>
    <row r="213" spans="1:4" x14ac:dyDescent="0.35">
      <c r="B213" s="285" t="str">
        <f>[2]Data!A278</f>
        <v>May</v>
      </c>
      <c r="C213" s="285">
        <v>22.029744300000001</v>
      </c>
      <c r="D213" s="285">
        <v>26.635100000000001</v>
      </c>
    </row>
    <row r="214" spans="1:4" x14ac:dyDescent="0.35">
      <c r="B214" s="285" t="str">
        <f>[2]Data!A279</f>
        <v>Jun.</v>
      </c>
      <c r="C214" s="285">
        <v>27.187295489999997</v>
      </c>
      <c r="D214" s="285">
        <v>25.850999999999999</v>
      </c>
    </row>
    <row r="215" spans="1:4" x14ac:dyDescent="0.35">
      <c r="B215" s="285" t="str">
        <f>[2]Data!A280</f>
        <v>Jul.</v>
      </c>
      <c r="C215" s="285">
        <v>31.146831690000006</v>
      </c>
      <c r="D215" s="285">
        <v>30.200299999999999</v>
      </c>
    </row>
    <row r="216" spans="1:4" x14ac:dyDescent="0.35">
      <c r="B216" s="285" t="str">
        <f>[2]Data!A281</f>
        <v>Aug.</v>
      </c>
      <c r="C216" s="285">
        <v>18.907549569999972</v>
      </c>
      <c r="D216" s="285">
        <v>29.633299999999998</v>
      </c>
    </row>
    <row r="217" spans="1:4" x14ac:dyDescent="0.35">
      <c r="B217" s="285" t="str">
        <f>[2]Data!A282</f>
        <v>Sep.</v>
      </c>
      <c r="C217" s="285">
        <v>28.688105449999998</v>
      </c>
      <c r="D217" s="285">
        <v>28.034200000000002</v>
      </c>
    </row>
    <row r="218" spans="1:4" x14ac:dyDescent="0.35">
      <c r="B218" s="285" t="str">
        <f>[2]Data!A283</f>
        <v>Oct.</v>
      </c>
      <c r="C218" s="285">
        <v>32.174451080000004</v>
      </c>
      <c r="D218" s="285">
        <v>27.386700000000001</v>
      </c>
    </row>
    <row r="219" spans="1:4" x14ac:dyDescent="0.35">
      <c r="B219" s="285" t="str">
        <f>[2]Data!A284</f>
        <v>Nov.</v>
      </c>
      <c r="C219" s="285">
        <v>17.723568189999998</v>
      </c>
      <c r="D219" s="285">
        <v>28.130215</v>
      </c>
    </row>
    <row r="220" spans="1:4" x14ac:dyDescent="0.35">
      <c r="B220" s="285" t="str">
        <f>[2]Data!A285</f>
        <v>Dec.</v>
      </c>
      <c r="C220" s="285">
        <v>22.87226077</v>
      </c>
      <c r="D220" s="285">
        <v>47.842070250000006</v>
      </c>
    </row>
    <row r="221" spans="1:4" x14ac:dyDescent="0.35">
      <c r="A221" s="285">
        <f>A209+1</f>
        <v>2011</v>
      </c>
      <c r="B221" s="285" t="str">
        <f>[2]Data!A288</f>
        <v>Jan.</v>
      </c>
      <c r="C221" s="285">
        <v>20.086967439999999</v>
      </c>
      <c r="D221" s="285">
        <v>26.212499999999999</v>
      </c>
    </row>
    <row r="222" spans="1:4" x14ac:dyDescent="0.35">
      <c r="B222" s="285" t="str">
        <f>[2]Data!A289</f>
        <v>Feb.</v>
      </c>
      <c r="C222" s="285">
        <v>16.706253159999999</v>
      </c>
      <c r="D222" s="285">
        <v>29.578699999999998</v>
      </c>
    </row>
    <row r="223" spans="1:4" x14ac:dyDescent="0.35">
      <c r="B223" s="285" t="str">
        <f>[2]Data!A290</f>
        <v>Mar.</v>
      </c>
      <c r="C223" s="285">
        <v>26.579874240000002</v>
      </c>
      <c r="D223" s="285">
        <v>30.330656999999995</v>
      </c>
    </row>
    <row r="224" spans="1:4" x14ac:dyDescent="0.35">
      <c r="B224" s="285" t="str">
        <f>[2]Data!A291</f>
        <v>Apr.</v>
      </c>
      <c r="C224" s="285">
        <v>35.851848899999993</v>
      </c>
      <c r="D224" s="285">
        <v>29.846915580000005</v>
      </c>
    </row>
    <row r="225" spans="1:4" x14ac:dyDescent="0.35">
      <c r="B225" s="285" t="str">
        <f>[2]Data!A292</f>
        <v>May</v>
      </c>
      <c r="C225" s="285">
        <v>29.711941199999998</v>
      </c>
      <c r="D225" s="285">
        <v>30.016593268400001</v>
      </c>
    </row>
    <row r="226" spans="1:4" x14ac:dyDescent="0.35">
      <c r="B226" s="285" t="str">
        <f>[2]Data!A293</f>
        <v>Jun</v>
      </c>
      <c r="C226" s="285">
        <v>28.773688759999999</v>
      </c>
      <c r="D226" s="285">
        <v>31.731711922080002</v>
      </c>
    </row>
    <row r="227" spans="1:4" x14ac:dyDescent="0.35">
      <c r="B227" s="285" t="str">
        <f>[2]Data!A294</f>
        <v>Jul.</v>
      </c>
      <c r="C227" s="285">
        <v>15.988608149999997</v>
      </c>
      <c r="D227" s="285">
        <v>31.014018418443197</v>
      </c>
    </row>
    <row r="228" spans="1:4" x14ac:dyDescent="0.35">
      <c r="B228" s="285" t="str">
        <f>[2]Data!A295</f>
        <v>Aug.</v>
      </c>
      <c r="C228" s="285">
        <v>17.120243690000017</v>
      </c>
      <c r="D228" s="285">
        <v>31.872171707734221</v>
      </c>
    </row>
    <row r="229" spans="1:4" x14ac:dyDescent="0.35">
      <c r="B229" s="285" t="str">
        <f>[2]Data!A296</f>
        <v>Sep.</v>
      </c>
      <c r="C229" s="285">
        <v>29.896201759999968</v>
      </c>
      <c r="D229" s="285">
        <v>25.812403780800665</v>
      </c>
    </row>
    <row r="230" spans="1:4" x14ac:dyDescent="0.35">
      <c r="B230" s="285" t="str">
        <f>[2]Data!A297</f>
        <v>Oct.</v>
      </c>
      <c r="C230" s="285">
        <v>26.972804160000017</v>
      </c>
      <c r="D230" s="285">
        <v>30.467129726000834</v>
      </c>
    </row>
    <row r="231" spans="1:4" x14ac:dyDescent="0.35">
      <c r="B231" s="285" t="str">
        <f>[2]Data!A298</f>
        <v>Nov.</v>
      </c>
      <c r="C231" s="285">
        <v>23.008019199999978</v>
      </c>
      <c r="D231" s="285">
        <v>35.599073402720599</v>
      </c>
    </row>
    <row r="232" spans="1:4" x14ac:dyDescent="0.35">
      <c r="B232" s="285" t="str">
        <f>[2]Data!A299</f>
        <v>Dec.</v>
      </c>
      <c r="C232" s="285">
        <v>19.70575285</v>
      </c>
      <c r="D232" s="285">
        <v>42.422888891591199</v>
      </c>
    </row>
    <row r="233" spans="1:4" x14ac:dyDescent="0.35">
      <c r="A233" s="285">
        <f>A221+1</f>
        <v>2012</v>
      </c>
      <c r="B233" s="285" t="str">
        <f>[2]Data!A302</f>
        <v>Jan.</v>
      </c>
      <c r="C233" s="285">
        <v>17.829854249999997</v>
      </c>
      <c r="D233" s="285">
        <v>29.954632779534283</v>
      </c>
    </row>
    <row r="234" spans="1:4" x14ac:dyDescent="0.35">
      <c r="B234" s="285" t="str">
        <f>[2]Data!A303</f>
        <v>Feb.</v>
      </c>
      <c r="C234" s="285">
        <v>16.818245919999999</v>
      </c>
      <c r="D234" s="285">
        <v>31.759556663868807</v>
      </c>
    </row>
    <row r="235" spans="1:4" x14ac:dyDescent="0.35">
      <c r="B235" s="285" t="str">
        <f>[2]Data!A304</f>
        <v>Mar.</v>
      </c>
      <c r="C235" s="285">
        <v>24.699393139999973</v>
      </c>
      <c r="D235" s="285">
        <v>31.305753597397992</v>
      </c>
    </row>
    <row r="236" spans="1:4" x14ac:dyDescent="0.35">
      <c r="B236" s="285" t="str">
        <f>[2]Data!A305</f>
        <v>Apr.</v>
      </c>
      <c r="C236" s="285">
        <v>27.570462640000002</v>
      </c>
      <c r="D236" s="285">
        <v>28.58921621324188</v>
      </c>
    </row>
    <row r="237" spans="1:4" x14ac:dyDescent="0.35">
      <c r="B237" s="285" t="str">
        <f>[2]Data!A306</f>
        <v>May</v>
      </c>
      <c r="C237" s="285">
        <v>25.768525919999995</v>
      </c>
      <c r="D237" s="285">
        <v>37.426919444027135</v>
      </c>
    </row>
    <row r="238" spans="1:4" x14ac:dyDescent="0.35">
      <c r="B238" s="285" t="str">
        <f>[2]Data!A307</f>
        <v>Jun</v>
      </c>
      <c r="C238" s="285">
        <v>32.019711619999995</v>
      </c>
      <c r="D238" s="285">
        <v>35.267765326213187</v>
      </c>
    </row>
    <row r="239" spans="1:4" x14ac:dyDescent="0.35">
      <c r="B239" s="285" t="str">
        <f>[2]Data!A308</f>
        <v>Jul.</v>
      </c>
      <c r="C239" s="285">
        <v>27.806307159999999</v>
      </c>
      <c r="D239" s="285">
        <v>36.742400234873493</v>
      </c>
    </row>
    <row r="240" spans="1:4" x14ac:dyDescent="0.35">
      <c r="B240" s="285" t="str">
        <f>[2]Data!A309</f>
        <v>Aug.</v>
      </c>
      <c r="C240" s="285">
        <v>36.852175439999996</v>
      </c>
      <c r="D240" s="285">
        <v>33.773667258360845</v>
      </c>
    </row>
    <row r="241" spans="1:4" x14ac:dyDescent="0.35">
      <c r="B241" s="285" t="str">
        <f>[2]Data!A310</f>
        <v>Sep.</v>
      </c>
      <c r="C241" s="285">
        <v>25.39848284</v>
      </c>
      <c r="D241" s="285">
        <v>29.559117661521448</v>
      </c>
    </row>
    <row r="242" spans="1:4" x14ac:dyDescent="0.35">
      <c r="B242" s="285" t="str">
        <f>[2]Data!A311</f>
        <v>Oct.</v>
      </c>
      <c r="C242" s="285">
        <v>18.259453180000001</v>
      </c>
      <c r="D242" s="285">
        <v>28.786410784443177</v>
      </c>
    </row>
    <row r="243" spans="1:4" x14ac:dyDescent="0.35">
      <c r="B243" s="285" t="str">
        <f>[2]Data!A312</f>
        <v>Nov.</v>
      </c>
      <c r="C243" s="285">
        <v>25.750282509999998</v>
      </c>
      <c r="D243" s="285">
        <v>37.195257032465832</v>
      </c>
    </row>
    <row r="244" spans="1:4" x14ac:dyDescent="0.35">
      <c r="B244" s="285" t="str">
        <f>[2]Data!A313</f>
        <v>Dec.</v>
      </c>
      <c r="C244" s="285">
        <v>27.044920400000002</v>
      </c>
      <c r="D244" s="285">
        <v>45.599719190000002</v>
      </c>
    </row>
    <row r="245" spans="1:4" x14ac:dyDescent="0.35">
      <c r="A245" s="285">
        <f>A233+1</f>
        <v>2013</v>
      </c>
      <c r="B245" s="285" t="str">
        <f>[2]Data!A316</f>
        <v>Jan.</v>
      </c>
      <c r="C245" s="285">
        <v>27.220710840000002</v>
      </c>
      <c r="D245" s="285">
        <v>37.312759041999996</v>
      </c>
    </row>
    <row r="246" spans="1:4" x14ac:dyDescent="0.35">
      <c r="B246" s="285" t="str">
        <f>[2]Data!A317</f>
        <v>Feb.</v>
      </c>
      <c r="C246" s="285">
        <v>27.720612800000001</v>
      </c>
      <c r="D246" s="285">
        <v>33.542138045333338</v>
      </c>
    </row>
    <row r="247" spans="1:4" x14ac:dyDescent="0.35">
      <c r="B247" s="285" t="str">
        <f>[2]Data!A318</f>
        <v>Mar.</v>
      </c>
      <c r="C247" s="285">
        <v>26.870900599999999</v>
      </c>
      <c r="D247" s="285">
        <v>31.895914603333331</v>
      </c>
    </row>
    <row r="248" spans="1:4" x14ac:dyDescent="0.35">
      <c r="B248" s="285" t="str">
        <f>[2]Data!A319</f>
        <v>Apr.</v>
      </c>
      <c r="C248" s="285">
        <v>23.026822449999976</v>
      </c>
      <c r="D248" s="285">
        <v>31.283858265999999</v>
      </c>
    </row>
    <row r="249" spans="1:4" x14ac:dyDescent="0.35">
      <c r="B249" s="285" t="str">
        <f>[2]Data!A320</f>
        <v>May</v>
      </c>
      <c r="C249" s="285">
        <v>26.146280050000001</v>
      </c>
      <c r="D249" s="285">
        <v>41.80613159</v>
      </c>
    </row>
    <row r="250" spans="1:4" x14ac:dyDescent="0.35">
      <c r="B250" s="285" t="str">
        <f>[2]Data!A321</f>
        <v>Jun.</v>
      </c>
      <c r="C250" s="285">
        <v>25.050447179999999</v>
      </c>
      <c r="D250" s="285">
        <v>31.762466997333334</v>
      </c>
    </row>
    <row r="251" spans="1:4" x14ac:dyDescent="0.35">
      <c r="B251" s="285" t="str">
        <f>[2]Data!A322</f>
        <v>July</v>
      </c>
      <c r="C251" s="285">
        <v>24.981744119999998</v>
      </c>
      <c r="D251" s="285">
        <v>40.432267195333331</v>
      </c>
    </row>
    <row r="252" spans="1:4" x14ac:dyDescent="0.35">
      <c r="B252" s="285" t="str">
        <f>[2]Data!A323</f>
        <v>Aug.</v>
      </c>
      <c r="C252" s="285">
        <v>32.262766643000006</v>
      </c>
      <c r="D252" s="285">
        <v>36.951192150666664</v>
      </c>
    </row>
    <row r="253" spans="1:4" x14ac:dyDescent="0.35">
      <c r="B253" s="285" t="str">
        <f>[2]Data!A324</f>
        <v>Sep.</v>
      </c>
      <c r="C253" s="285">
        <v>25.358721389999996</v>
      </c>
      <c r="D253" s="285">
        <v>30.048578410000005</v>
      </c>
    </row>
    <row r="254" spans="1:4" x14ac:dyDescent="0.35">
      <c r="B254" s="285" t="str">
        <f>[2]Data!A325</f>
        <v>Oct.</v>
      </c>
      <c r="C254" s="285">
        <v>31.952236227399997</v>
      </c>
      <c r="D254" s="285">
        <v>31.706678318666668</v>
      </c>
    </row>
    <row r="255" spans="1:4" x14ac:dyDescent="0.35">
      <c r="B255" s="285" t="str">
        <f>[2]Data!A326</f>
        <v>Nov.</v>
      </c>
      <c r="C255" s="285">
        <v>32.518048700000001</v>
      </c>
      <c r="D255" s="285">
        <v>34.314973927999993</v>
      </c>
    </row>
    <row r="256" spans="1:4" x14ac:dyDescent="0.35">
      <c r="B256" s="285" t="str">
        <f>[2]Data!A327</f>
        <v>Dec.</v>
      </c>
      <c r="C256" s="285">
        <v>35.990655480000001</v>
      </c>
      <c r="D256" s="285">
        <v>42.036554981333346</v>
      </c>
    </row>
    <row r="257" spans="1:4" x14ac:dyDescent="0.35">
      <c r="A257" s="285">
        <f>A245+1</f>
        <v>2014</v>
      </c>
      <c r="B257" s="285" t="str">
        <f>[2]Data!A330</f>
        <v>Jan.</v>
      </c>
      <c r="C257" s="285">
        <v>31.118249183000003</v>
      </c>
      <c r="D257" s="285">
        <v>30.342864320666671</v>
      </c>
    </row>
    <row r="258" spans="1:4" x14ac:dyDescent="0.35">
      <c r="B258" s="285" t="str">
        <f>[2]Data!A331</f>
        <v>Feb.</v>
      </c>
      <c r="C258" s="285">
        <v>26.517135649999997</v>
      </c>
      <c r="D258" s="285">
        <v>25.239670185333328</v>
      </c>
    </row>
    <row r="259" spans="1:4" x14ac:dyDescent="0.35">
      <c r="B259" s="285" t="str">
        <f>[2]Data!A332</f>
        <v>Mar.</v>
      </c>
      <c r="C259" s="285">
        <v>30.940714730000003</v>
      </c>
      <c r="D259" s="285">
        <v>25.61071660266667</v>
      </c>
    </row>
    <row r="260" spans="1:4" x14ac:dyDescent="0.35">
      <c r="B260" s="285" t="str">
        <f>[2]Data!A333</f>
        <v>Apr.</v>
      </c>
      <c r="C260" s="285">
        <v>28.113961795000002</v>
      </c>
      <c r="D260" s="285">
        <v>31.291149870000005</v>
      </c>
    </row>
    <row r="261" spans="1:4" x14ac:dyDescent="0.35">
      <c r="B261" s="285" t="str">
        <f>[2]Data!A334</f>
        <v>May</v>
      </c>
      <c r="C261" s="285">
        <v>32.050918364999994</v>
      </c>
      <c r="D261" s="285">
        <v>32.489773212666677</v>
      </c>
    </row>
    <row r="262" spans="1:4" x14ac:dyDescent="0.35">
      <c r="B262" s="285" t="str">
        <f>[2]Data!A335</f>
        <v>Jun.</v>
      </c>
      <c r="C262" s="285">
        <v>29.50181663</v>
      </c>
      <c r="D262" s="285">
        <v>31.494613993850667</v>
      </c>
    </row>
    <row r="263" spans="1:4" x14ac:dyDescent="0.35">
      <c r="B263" s="285" t="str">
        <f>[2]Data!A336</f>
        <v>July</v>
      </c>
      <c r="C263" s="285">
        <v>32.163552649999993</v>
      </c>
      <c r="D263" s="285">
        <v>31.751388246426664</v>
      </c>
    </row>
    <row r="264" spans="1:4" x14ac:dyDescent="0.35">
      <c r="B264" s="285" t="str">
        <f>[2]Data!A337</f>
        <v>Aug.</v>
      </c>
      <c r="C264" s="285">
        <v>35.219051780000001</v>
      </c>
      <c r="D264" s="285">
        <v>36.518560390186664</v>
      </c>
    </row>
    <row r="265" spans="1:4" x14ac:dyDescent="0.35">
      <c r="B265" s="285" t="str">
        <f>[2]Data!A338</f>
        <v>Sep.</v>
      </c>
      <c r="C265" s="285">
        <v>27.056322509999994</v>
      </c>
      <c r="D265" s="285">
        <v>30.193926132240001</v>
      </c>
    </row>
    <row r="266" spans="1:4" x14ac:dyDescent="0.35">
      <c r="B266" s="285" t="str">
        <f>[2]Data!A339</f>
        <v>Oct.</v>
      </c>
      <c r="C266" s="285">
        <v>37.069575710000009</v>
      </c>
      <c r="D266" s="285">
        <v>33.810519121253328</v>
      </c>
    </row>
    <row r="267" spans="1:4" x14ac:dyDescent="0.35">
      <c r="B267" s="285" t="str">
        <f>[2]Data!A340</f>
        <v>Nov.</v>
      </c>
      <c r="C267" s="285">
        <v>31.796643522000004</v>
      </c>
      <c r="D267" s="285">
        <v>32.78570659399999</v>
      </c>
    </row>
    <row r="268" spans="1:4" x14ac:dyDescent="0.35">
      <c r="B268" s="285" t="str">
        <f>[2]Data!A341</f>
        <v>Dec.</v>
      </c>
      <c r="C268" s="285">
        <v>41.627667770000002</v>
      </c>
      <c r="D268" s="285">
        <v>52.152984511333344</v>
      </c>
    </row>
    <row r="269" spans="1:4" x14ac:dyDescent="0.35">
      <c r="A269" s="285">
        <f>A257+1</f>
        <v>2015</v>
      </c>
      <c r="B269" s="285" t="str">
        <f>[2]Data!A344</f>
        <v>Jan.</v>
      </c>
      <c r="C269" s="285">
        <v>38.523251228935486</v>
      </c>
      <c r="D269" s="285">
        <v>31.84821709709334</v>
      </c>
    </row>
    <row r="270" spans="1:4" x14ac:dyDescent="0.35">
      <c r="B270" s="285" t="str">
        <f>[2]Data!A345</f>
        <v>Feb.</v>
      </c>
      <c r="C270" s="285">
        <v>40.843098473570706</v>
      </c>
      <c r="D270" s="285">
        <v>33.149687625440002</v>
      </c>
    </row>
    <row r="271" spans="1:4" x14ac:dyDescent="0.35">
      <c r="B271" s="285" t="str">
        <f>[2]Data!A346</f>
        <v>Mar.</v>
      </c>
      <c r="C271" s="285">
        <v>37.459667367999998</v>
      </c>
      <c r="D271" s="285">
        <v>31.219845766666669</v>
      </c>
    </row>
    <row r="272" spans="1:4" x14ac:dyDescent="0.35">
      <c r="B272" s="285" t="str">
        <f>[2]Data!A347</f>
        <v>Apr.</v>
      </c>
      <c r="C272" s="285">
        <v>33.239610138127716</v>
      </c>
      <c r="D272" s="285">
        <v>35.781194276666668</v>
      </c>
    </row>
    <row r="273" spans="1:4" x14ac:dyDescent="0.35">
      <c r="B273" s="285" t="str">
        <f>[2]Data!A348</f>
        <v>May</v>
      </c>
      <c r="C273" s="285">
        <v>46.756628968699999</v>
      </c>
      <c r="D273" s="285">
        <v>36.273242273333331</v>
      </c>
    </row>
    <row r="274" spans="1:4" x14ac:dyDescent="0.35">
      <c r="B274" s="285" t="str">
        <f>[2]Data!A349</f>
        <v>Jun.</v>
      </c>
      <c r="C274" s="285">
        <v>35.702629985999998</v>
      </c>
      <c r="D274" s="285">
        <v>33.059196443333342</v>
      </c>
    </row>
    <row r="275" spans="1:4" x14ac:dyDescent="0.35">
      <c r="B275" s="285" t="str">
        <f>[2]Data!A350</f>
        <v>Jul.</v>
      </c>
      <c r="C275" s="285">
        <v>51.329476540000002</v>
      </c>
      <c r="D275" s="285">
        <v>33.725776320000001</v>
      </c>
    </row>
    <row r="276" spans="1:4" x14ac:dyDescent="0.35">
      <c r="B276" s="285" t="str">
        <f>[2]Data!A351</f>
        <v>Aug.</v>
      </c>
      <c r="C276" s="285">
        <v>38.755515074000002</v>
      </c>
      <c r="D276" s="285">
        <v>34.054143760000002</v>
      </c>
    </row>
    <row r="277" spans="1:4" x14ac:dyDescent="0.35">
      <c r="B277" s="285" t="str">
        <f>[2]Data!A352</f>
        <v>Sep.</v>
      </c>
      <c r="C277" s="285">
        <v>39.432127409373834</v>
      </c>
      <c r="D277" s="285">
        <v>31.658334866666664</v>
      </c>
    </row>
    <row r="278" spans="1:4" x14ac:dyDescent="0.35">
      <c r="B278" s="285" t="str">
        <f>[2]Data!A353</f>
        <v>Oct.</v>
      </c>
      <c r="C278" s="285">
        <v>45.819304340000002</v>
      </c>
      <c r="D278" s="285">
        <v>34.320899886666666</v>
      </c>
    </row>
    <row r="279" spans="1:4" x14ac:dyDescent="0.35">
      <c r="B279" s="285" t="str">
        <f>[2]Data!A354</f>
        <v>Nov.</v>
      </c>
      <c r="C279" s="285">
        <v>35.218296061399748</v>
      </c>
      <c r="D279" s="285">
        <v>29.306105880000004</v>
      </c>
    </row>
    <row r="280" spans="1:4" x14ac:dyDescent="0.35">
      <c r="B280" s="285" t="str">
        <f>[2]Data!A355</f>
        <v>Dec.</v>
      </c>
      <c r="C280" s="285">
        <v>48.621102426762306</v>
      </c>
      <c r="D280" s="285">
        <v>43.938740490000008</v>
      </c>
    </row>
    <row r="281" spans="1:4" x14ac:dyDescent="0.35">
      <c r="A281" s="285">
        <f>A269+1</f>
        <v>2016</v>
      </c>
      <c r="B281" s="285" t="str">
        <f>[2]Data!A358</f>
        <v>Jan.</v>
      </c>
      <c r="C281" s="285">
        <v>37.310565080000003</v>
      </c>
      <c r="D281" s="285">
        <v>26.786136775999999</v>
      </c>
    </row>
    <row r="282" spans="1:4" x14ac:dyDescent="0.35">
      <c r="B282" s="285" t="str">
        <f>[2]Data!A359</f>
        <v>Feb.</v>
      </c>
      <c r="C282" s="285">
        <v>36.307442710000004</v>
      </c>
      <c r="D282" s="285">
        <v>29.619910859333327</v>
      </c>
    </row>
    <row r="283" spans="1:4" x14ac:dyDescent="0.35">
      <c r="B283" s="285" t="str">
        <f>[2]Data!A360</f>
        <v>Mar.</v>
      </c>
      <c r="C283" s="285">
        <v>45.502811460000004</v>
      </c>
      <c r="D283" s="285">
        <v>29.700091704000002</v>
      </c>
    </row>
    <row r="284" spans="1:4" x14ac:dyDescent="0.35">
      <c r="B284" s="285" t="str">
        <f>[2]Data!A361</f>
        <v>Apr.</v>
      </c>
      <c r="C284" s="285">
        <v>47.492400789999998</v>
      </c>
      <c r="D284" s="285">
        <v>31.582604176666671</v>
      </c>
    </row>
    <row r="285" spans="1:4" x14ac:dyDescent="0.35">
      <c r="B285" s="285" t="str">
        <f>[2]Data!A362</f>
        <v>May</v>
      </c>
      <c r="C285" s="285">
        <v>43.048021810000002</v>
      </c>
      <c r="D285" s="285">
        <v>35.451584339999997</v>
      </c>
    </row>
    <row r="286" spans="1:4" x14ac:dyDescent="0.35">
      <c r="B286" s="285" t="str">
        <f>[2]Data!A363</f>
        <v>Jun.</v>
      </c>
      <c r="C286" s="285">
        <v>36.492889300000002</v>
      </c>
      <c r="D286" s="285">
        <v>31.106564490911996</v>
      </c>
    </row>
    <row r="287" spans="1:4" x14ac:dyDescent="0.35">
      <c r="B287" s="285" t="str">
        <f>[2]Data!A364</f>
        <v>Jul.</v>
      </c>
      <c r="C287" s="285">
        <v>56.122012049999995</v>
      </c>
      <c r="D287" s="285">
        <v>33.754776521136009</v>
      </c>
    </row>
    <row r="288" spans="1:4" x14ac:dyDescent="0.35">
      <c r="B288" s="285" t="str">
        <f>[2]Data!A365</f>
        <v>Aug.</v>
      </c>
      <c r="C288" s="285">
        <v>41.67435172449246</v>
      </c>
      <c r="D288" s="285">
        <v>36.391278613832014</v>
      </c>
    </row>
    <row r="289" spans="1:4" x14ac:dyDescent="0.35">
      <c r="B289" s="285" t="str">
        <f>[2]Data!A366</f>
        <v>Sep.</v>
      </c>
      <c r="C289" s="285">
        <v>44.830007974388899</v>
      </c>
      <c r="D289" s="285">
        <v>33.039276516698663</v>
      </c>
    </row>
    <row r="290" spans="1:4" x14ac:dyDescent="0.35">
      <c r="B290" s="285" t="str">
        <f>[2]Data!A367</f>
        <v>Oct.</v>
      </c>
      <c r="C290" s="285">
        <v>46.631007050000001</v>
      </c>
      <c r="D290" s="285">
        <v>32.212760091784006</v>
      </c>
    </row>
    <row r="291" spans="1:4" x14ac:dyDescent="0.35">
      <c r="B291" s="285" t="str">
        <f>[2]Data!A368</f>
        <v>Nov.</v>
      </c>
      <c r="C291" s="285">
        <v>52.590368113219839</v>
      </c>
      <c r="D291" s="285">
        <v>33.847597989264003</v>
      </c>
    </row>
    <row r="292" spans="1:4" x14ac:dyDescent="0.35">
      <c r="B292" s="285" t="str">
        <f>[2]Data!A369</f>
        <v>Dec.</v>
      </c>
      <c r="C292" s="285">
        <v>53.786921507757889</v>
      </c>
      <c r="D292" s="285">
        <v>43.563040203866663</v>
      </c>
    </row>
    <row r="293" spans="1:4" x14ac:dyDescent="0.35">
      <c r="A293" s="285">
        <f>A281+1</f>
        <v>2017</v>
      </c>
      <c r="B293" s="285" t="str">
        <f>[2]Data!A372</f>
        <v>Jan.</v>
      </c>
      <c r="C293" s="285">
        <v>36.04867248107491</v>
      </c>
      <c r="D293" s="285">
        <v>30.703874150000001</v>
      </c>
    </row>
    <row r="294" spans="1:4" x14ac:dyDescent="0.35">
      <c r="B294" s="285" t="str">
        <f>[2]Data!A373</f>
        <v>Feb.</v>
      </c>
      <c r="C294" s="285">
        <v>41.125339924580139</v>
      </c>
      <c r="D294" s="285">
        <v>26.767649025152004</v>
      </c>
    </row>
    <row r="295" spans="1:4" x14ac:dyDescent="0.35">
      <c r="B295" s="285" t="str">
        <f>[2]Data!A374</f>
        <v>Mar.</v>
      </c>
      <c r="C295" s="285">
        <v>46.335793749197521</v>
      </c>
      <c r="D295" s="285">
        <v>32.299587137149338</v>
      </c>
    </row>
    <row r="296" spans="1:4" x14ac:dyDescent="0.35">
      <c r="B296" s="285" t="str">
        <f>[2]Data!A375</f>
        <v>Apr.</v>
      </c>
      <c r="C296" s="285">
        <v>38.216871673319403</v>
      </c>
      <c r="D296" s="285">
        <v>29.83471226333333</v>
      </c>
    </row>
    <row r="297" spans="1:4" x14ac:dyDescent="0.35">
      <c r="B297" s="285" t="str">
        <f>[2]Data!A376</f>
        <v>May</v>
      </c>
      <c r="C297" s="285">
        <v>38.279610432972717</v>
      </c>
      <c r="D297" s="285">
        <v>34.359983523333327</v>
      </c>
    </row>
    <row r="298" spans="1:4" x14ac:dyDescent="0.35">
      <c r="B298" s="285" t="str">
        <f>[2]Data!A377</f>
        <v>Jun.</v>
      </c>
      <c r="C298" s="285">
        <v>53.739756980217109</v>
      </c>
      <c r="D298" s="285">
        <v>36.676371673333328</v>
      </c>
    </row>
    <row r="299" spans="1:4" x14ac:dyDescent="0.35">
      <c r="B299" s="285" t="str">
        <f>[2]Data!A378</f>
        <v>Jul.</v>
      </c>
      <c r="C299" s="285">
        <v>43.729563843379246</v>
      </c>
      <c r="D299" s="285">
        <v>33.845925485488003</v>
      </c>
    </row>
    <row r="300" spans="1:4" x14ac:dyDescent="0.35">
      <c r="B300" s="285" t="str">
        <f>[2]Data!A379</f>
        <v>Aug.</v>
      </c>
      <c r="C300" s="285">
        <v>42.733414739007536</v>
      </c>
      <c r="D300" s="285">
        <v>36.640114537903997</v>
      </c>
    </row>
    <row r="301" spans="1:4" x14ac:dyDescent="0.35">
      <c r="B301" s="285" t="str">
        <f>[2]Data!A380</f>
        <v>Sep.</v>
      </c>
      <c r="C301" s="285">
        <v>55.012361125189493</v>
      </c>
      <c r="D301" s="285">
        <v>33.844444303333326</v>
      </c>
    </row>
    <row r="302" spans="1:4" x14ac:dyDescent="0.35">
      <c r="B302" s="285" t="str">
        <f>[2]Data!A381</f>
        <v>Oct.</v>
      </c>
      <c r="C302" s="285">
        <v>42.966444050331717</v>
      </c>
      <c r="D302" s="285">
        <v>38.759003133333337</v>
      </c>
    </row>
    <row r="303" spans="1:4" x14ac:dyDescent="0.35">
      <c r="B303" s="285" t="str">
        <f>[2]Data!A382</f>
        <v>Nov.</v>
      </c>
      <c r="C303" s="285">
        <v>40.535732733556053</v>
      </c>
      <c r="D303" s="285">
        <v>39.465952435333342</v>
      </c>
    </row>
    <row r="304" spans="1:4" x14ac:dyDescent="0.35">
      <c r="B304" s="285" t="str">
        <f>[2]Data!A383</f>
        <v>Dec.</v>
      </c>
      <c r="C304" s="285">
        <v>54.46310277108374</v>
      </c>
      <c r="D304" s="285">
        <v>52.472638076666662</v>
      </c>
    </row>
    <row r="305" spans="1:4" x14ac:dyDescent="0.35">
      <c r="A305" s="285">
        <f>A293+1</f>
        <v>2018</v>
      </c>
      <c r="B305" s="285" t="str">
        <f>[2]Data!A386</f>
        <v>Jan.</v>
      </c>
      <c r="C305" s="285">
        <v>42.492991454993536</v>
      </c>
      <c r="D305" s="285">
        <v>39.766279268933332</v>
      </c>
    </row>
    <row r="306" spans="1:4" x14ac:dyDescent="0.35">
      <c r="B306" s="285" t="str">
        <f>[2]Data!A387</f>
        <v>Feb.</v>
      </c>
      <c r="C306" s="285">
        <v>34.237234708487257</v>
      </c>
      <c r="D306" s="285">
        <v>37.578443423263998</v>
      </c>
    </row>
    <row r="307" spans="1:4" x14ac:dyDescent="0.35">
      <c r="B307" s="285" t="str">
        <f>[2]Data!A388</f>
        <v>Mar.</v>
      </c>
      <c r="C307" s="285">
        <v>51.347164930150093</v>
      </c>
      <c r="D307" s="285">
        <v>44.490157105792001</v>
      </c>
    </row>
    <row r="308" spans="1:4" x14ac:dyDescent="0.35">
      <c r="B308" s="285" t="str">
        <f>[2]Data!A389</f>
        <v>Apr.</v>
      </c>
      <c r="C308" s="285">
        <v>43.614795236978601</v>
      </c>
      <c r="D308" s="285">
        <v>41.875393007333336</v>
      </c>
    </row>
    <row r="309" spans="1:4" x14ac:dyDescent="0.35">
      <c r="B309" s="285" t="str">
        <f>[2]Data!A390</f>
        <v>May</v>
      </c>
      <c r="C309" s="285">
        <v>45.274200055608425</v>
      </c>
      <c r="D309" s="285">
        <v>49.340554611565324</v>
      </c>
    </row>
    <row r="310" spans="1:4" x14ac:dyDescent="0.35">
      <c r="B310" s="285" t="str">
        <f>[2]Data!A391</f>
        <v>Jun.</v>
      </c>
      <c r="C310" s="285">
        <v>58.172131523491743</v>
      </c>
      <c r="D310" s="285">
        <v>40.176396344933337</v>
      </c>
    </row>
    <row r="311" spans="1:4" x14ac:dyDescent="0.35">
      <c r="B311" s="285" t="str">
        <f>[2]Data!A392</f>
        <v>Jul.</v>
      </c>
      <c r="C311" s="285">
        <v>44.356474585496834</v>
      </c>
      <c r="D311" s="285">
        <v>40.550136745210658</v>
      </c>
    </row>
    <row r="312" spans="1:4" x14ac:dyDescent="0.35">
      <c r="B312" s="285" t="str">
        <f>[2]Data!A393</f>
        <v>Aug.</v>
      </c>
      <c r="C312" s="285">
        <v>56.792516300393842</v>
      </c>
      <c r="D312" s="285">
        <v>48.118221197103999</v>
      </c>
    </row>
    <row r="313" spans="1:4" x14ac:dyDescent="0.35">
      <c r="B313" s="285" t="str">
        <f>[2]Data!A394</f>
        <v>Sep.</v>
      </c>
      <c r="C313" s="285">
        <v>45.400442235865256</v>
      </c>
      <c r="D313" s="285">
        <v>37.367502119362669</v>
      </c>
    </row>
    <row r="314" spans="1:4" x14ac:dyDescent="0.35">
      <c r="B314" s="285" t="str">
        <f>[2]Data!A395</f>
        <v>Oct.</v>
      </c>
      <c r="C314" s="285">
        <v>42.794719171991787</v>
      </c>
      <c r="D314" s="285">
        <v>40.944833392133326</v>
      </c>
    </row>
    <row r="315" spans="1:4" x14ac:dyDescent="0.35">
      <c r="B315" s="285" t="str">
        <f>[2]Data!A396</f>
        <v>Nov.</v>
      </c>
      <c r="C315" s="285">
        <v>51.290265336092439</v>
      </c>
      <c r="D315" s="285">
        <v>41.812467336666664</v>
      </c>
    </row>
    <row r="316" spans="1:4" x14ac:dyDescent="0.35">
      <c r="B316" s="285" t="str">
        <f>[2]Data!A397</f>
        <v>Dec.</v>
      </c>
      <c r="C316" s="285">
        <v>48.234994134755773</v>
      </c>
      <c r="D316" s="285">
        <v>66.29326442</v>
      </c>
    </row>
    <row r="317" spans="1:4" x14ac:dyDescent="0.35">
      <c r="A317" s="285">
        <f>A305+1</f>
        <v>2019</v>
      </c>
      <c r="B317" s="285" t="str">
        <f>[2]Data!A400</f>
        <v>Jan.</v>
      </c>
      <c r="C317" s="285">
        <v>40.561438635222025</v>
      </c>
      <c r="D317" s="285">
        <v>40.217955714111994</v>
      </c>
    </row>
    <row r="318" spans="1:4" x14ac:dyDescent="0.35">
      <c r="B318" s="285" t="str">
        <f>[2]Data!A401</f>
        <v>Feb.</v>
      </c>
      <c r="C318" s="285">
        <v>43.745335585691628</v>
      </c>
      <c r="D318" s="285">
        <v>39.12952752333333</v>
      </c>
    </row>
    <row r="319" spans="1:4" x14ac:dyDescent="0.35">
      <c r="B319" s="285" t="str">
        <f>[2]Data!A402</f>
        <v>Mar.</v>
      </c>
      <c r="C319" s="285">
        <v>54.716509787743533</v>
      </c>
      <c r="D319" s="285">
        <v>54.623554043333343</v>
      </c>
    </row>
    <row r="320" spans="1:4" x14ac:dyDescent="0.35">
      <c r="B320" s="285" t="str">
        <f>[2]Data!A403</f>
        <v>Apr.</v>
      </c>
      <c r="C320" s="285">
        <v>42.476370595983575</v>
      </c>
      <c r="D320" s="285">
        <v>40.250252732349324</v>
      </c>
    </row>
    <row r="321" spans="1:4" x14ac:dyDescent="0.35">
      <c r="B321" s="285" t="str">
        <f>[2]Data!A404</f>
        <v>May</v>
      </c>
      <c r="C321" s="285">
        <v>57.374575842184363</v>
      </c>
      <c r="D321" s="285">
        <v>47.447820626290664</v>
      </c>
    </row>
    <row r="322" spans="1:4" x14ac:dyDescent="0.35">
      <c r="B322" s="285" t="str">
        <f>[2]Data!A405</f>
        <v>Jun.</v>
      </c>
      <c r="C322" s="285">
        <v>54.296050110033171</v>
      </c>
      <c r="D322" s="285">
        <v>40.660782308000002</v>
      </c>
    </row>
    <row r="323" spans="1:4" x14ac:dyDescent="0.35">
      <c r="B323" s="285" t="str">
        <f>[2]Data!A406</f>
        <v>Jul.</v>
      </c>
      <c r="C323" s="285">
        <v>46.027647588213043</v>
      </c>
      <c r="D323" s="285">
        <v>53.449721512666663</v>
      </c>
    </row>
    <row r="324" spans="1:4" x14ac:dyDescent="0.35">
      <c r="B324" s="285" t="str">
        <f>[2]Data!A407</f>
        <v>Aug.</v>
      </c>
      <c r="C324" s="285">
        <v>60.539854930343942</v>
      </c>
      <c r="D324" s="285">
        <v>47.064843576000001</v>
      </c>
    </row>
    <row r="325" spans="1:4" x14ac:dyDescent="0.35">
      <c r="B325" s="285" t="str">
        <f>[2]Data!A408</f>
        <v>Sep.</v>
      </c>
      <c r="C325" s="285">
        <v>42.350269177223105</v>
      </c>
      <c r="D325" s="285">
        <v>38.339893359999991</v>
      </c>
    </row>
    <row r="326" spans="1:4" x14ac:dyDescent="0.35">
      <c r="B326" s="285" t="str">
        <f>[2]Data!A409</f>
        <v>Oct.</v>
      </c>
      <c r="C326" s="285">
        <v>43.472127473599528</v>
      </c>
      <c r="D326" s="285">
        <v>42.236189165999996</v>
      </c>
    </row>
    <row r="327" spans="1:4" x14ac:dyDescent="0.35">
      <c r="B327" s="285" t="str">
        <f>[2]Data!A410</f>
        <v>Nov.</v>
      </c>
      <c r="C327" s="285">
        <v>53.036257942168916</v>
      </c>
      <c r="D327" s="285">
        <v>42.55813735466667</v>
      </c>
    </row>
    <row r="328" spans="1:4" x14ac:dyDescent="0.35">
      <c r="B328" s="285" t="str">
        <f>[2]Data!A411</f>
        <v>Dec.</v>
      </c>
      <c r="C328" s="285">
        <v>48.922830380723617</v>
      </c>
      <c r="D328" s="285">
        <v>57.240285488666665</v>
      </c>
    </row>
    <row r="329" spans="1:4" x14ac:dyDescent="0.35">
      <c r="A329" s="285">
        <f>A317+1</f>
        <v>2020</v>
      </c>
      <c r="B329" s="285" t="str">
        <f>[2]Data!A414</f>
        <v>Jan.</v>
      </c>
      <c r="C329" s="285">
        <v>56.293336804053148</v>
      </c>
      <c r="D329" s="285">
        <v>46.888319756666668</v>
      </c>
    </row>
    <row r="330" spans="1:4" x14ac:dyDescent="0.35">
      <c r="B330" s="285" t="str">
        <f>[2]Data!A415</f>
        <v>Feb.</v>
      </c>
      <c r="C330" s="285">
        <v>50.20012998911767</v>
      </c>
      <c r="D330" s="285">
        <v>41.973193476666658</v>
      </c>
    </row>
    <row r="331" spans="1:4" x14ac:dyDescent="0.35">
      <c r="B331" s="285" t="str">
        <f>[2]Data!A416</f>
        <v>Mar.</v>
      </c>
      <c r="C331" s="285">
        <v>41</v>
      </c>
      <c r="D331" s="285">
        <v>46.868479326666666</v>
      </c>
    </row>
    <row r="332" spans="1:4" x14ac:dyDescent="0.35">
      <c r="B332" s="285" t="str">
        <f>[2]Data!A417</f>
        <v>Apr.</v>
      </c>
      <c r="C332" s="285">
        <v>29</v>
      </c>
      <c r="D332" s="285">
        <v>36.751553532666669</v>
      </c>
    </row>
    <row r="333" spans="1:4" x14ac:dyDescent="0.35">
      <c r="B333" s="285" t="str">
        <f>[2]Data!A418</f>
        <v>May.</v>
      </c>
      <c r="C333" s="285">
        <v>56.700923416307297</v>
      </c>
      <c r="D333" s="285">
        <v>58.366809816666674</v>
      </c>
    </row>
    <row r="334" spans="1:4" x14ac:dyDescent="0.35">
      <c r="B334" s="285" t="str">
        <f>[2]Data!A419</f>
        <v>Jun.</v>
      </c>
      <c r="C334" s="285">
        <v>43.577507876170642</v>
      </c>
      <c r="D334" s="285">
        <v>51.658362830000002</v>
      </c>
    </row>
  </sheetData>
  <mergeCells count="1">
    <mergeCell ref="A1:D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E17"/>
  <sheetViews>
    <sheetView workbookViewId="0">
      <selection activeCell="B2" sqref="B2"/>
    </sheetView>
  </sheetViews>
  <sheetFormatPr defaultRowHeight="14.5" x14ac:dyDescent="0.35"/>
  <cols>
    <col min="1" max="1" width="28.453125" bestFit="1" customWidth="1"/>
    <col min="2" max="2" width="35.453125" customWidth="1"/>
    <col min="3" max="3" width="9.81640625" bestFit="1" customWidth="1"/>
    <col min="4" max="4" width="30.1796875" customWidth="1"/>
    <col min="5" max="5" width="13.26953125" customWidth="1"/>
  </cols>
  <sheetData>
    <row r="1" spans="1:5" x14ac:dyDescent="0.35">
      <c r="A1" s="106"/>
      <c r="B1" s="19"/>
      <c r="C1" s="15"/>
      <c r="D1" s="15"/>
      <c r="E1" s="15"/>
    </row>
    <row r="2" spans="1:5" x14ac:dyDescent="0.35">
      <c r="A2" s="106"/>
      <c r="B2" s="168" t="s">
        <v>491</v>
      </c>
      <c r="C2" s="15"/>
      <c r="D2" s="169" t="s">
        <v>490</v>
      </c>
      <c r="E2" s="15"/>
    </row>
    <row r="3" spans="1:5" ht="15.5" x14ac:dyDescent="0.35">
      <c r="A3" s="164" t="s">
        <v>474</v>
      </c>
      <c r="B3" s="388" t="s">
        <v>473</v>
      </c>
      <c r="C3" s="388"/>
      <c r="D3" s="388" t="s">
        <v>476</v>
      </c>
      <c r="E3" s="388"/>
    </row>
    <row r="4" spans="1:5" ht="15.5" x14ac:dyDescent="0.35">
      <c r="A4" s="161"/>
      <c r="B4" s="186" t="s">
        <v>478</v>
      </c>
      <c r="C4" s="187" t="s">
        <v>472</v>
      </c>
      <c r="D4" s="190" t="s">
        <v>477</v>
      </c>
      <c r="E4" s="191" t="s">
        <v>472</v>
      </c>
    </row>
    <row r="5" spans="1:5" ht="15.5" x14ac:dyDescent="0.35">
      <c r="A5" s="137" t="s">
        <v>469</v>
      </c>
      <c r="B5" s="188">
        <v>43221</v>
      </c>
      <c r="C5" s="189" t="s">
        <v>465</v>
      </c>
      <c r="D5" s="192">
        <v>43344</v>
      </c>
      <c r="E5" s="193" t="s">
        <v>465</v>
      </c>
    </row>
    <row r="6" spans="1:5" ht="15.5" x14ac:dyDescent="0.35">
      <c r="A6" s="137" t="s">
        <v>470</v>
      </c>
      <c r="B6" s="188">
        <v>42979</v>
      </c>
      <c r="C6" s="189" t="s">
        <v>465</v>
      </c>
      <c r="D6" s="192">
        <v>43709</v>
      </c>
      <c r="E6" s="193" t="s">
        <v>465</v>
      </c>
    </row>
    <row r="7" spans="1:5" ht="15.5" x14ac:dyDescent="0.35">
      <c r="A7" s="137" t="s">
        <v>263</v>
      </c>
      <c r="B7" s="188">
        <v>43435</v>
      </c>
      <c r="C7" s="189" t="s">
        <v>464</v>
      </c>
      <c r="D7" s="192">
        <v>43983</v>
      </c>
      <c r="E7" s="193" t="s">
        <v>465</v>
      </c>
    </row>
    <row r="8" spans="1:5" ht="15.5" x14ac:dyDescent="0.35">
      <c r="A8" s="137" t="s">
        <v>269</v>
      </c>
      <c r="B8" s="188">
        <v>43586</v>
      </c>
      <c r="C8" s="189" t="s">
        <v>465</v>
      </c>
      <c r="D8" s="192">
        <v>43922</v>
      </c>
      <c r="E8" s="193" t="s">
        <v>465</v>
      </c>
    </row>
    <row r="9" spans="1:5" ht="15.5" x14ac:dyDescent="0.35">
      <c r="A9" s="137" t="s">
        <v>55</v>
      </c>
      <c r="B9" s="188">
        <v>43405</v>
      </c>
      <c r="C9" s="189" t="s">
        <v>464</v>
      </c>
      <c r="D9" s="192">
        <v>43862</v>
      </c>
      <c r="E9" s="193" t="s">
        <v>464</v>
      </c>
    </row>
    <row r="10" spans="1:5" ht="15.5" x14ac:dyDescent="0.35">
      <c r="A10" s="137" t="s">
        <v>328</v>
      </c>
      <c r="B10" s="188">
        <v>43586</v>
      </c>
      <c r="C10" s="189" t="s">
        <v>466</v>
      </c>
      <c r="D10" s="192">
        <v>43586</v>
      </c>
      <c r="E10" s="193" t="s">
        <v>466</v>
      </c>
    </row>
    <row r="11" spans="1:5" ht="15.5" x14ac:dyDescent="0.35">
      <c r="A11" s="137" t="s">
        <v>266</v>
      </c>
      <c r="B11" s="188">
        <v>43101</v>
      </c>
      <c r="C11" s="189" t="s">
        <v>465</v>
      </c>
      <c r="D11" s="192">
        <v>43101</v>
      </c>
      <c r="E11" s="193" t="s">
        <v>465</v>
      </c>
    </row>
    <row r="12" spans="1:5" ht="15.5" x14ac:dyDescent="0.35">
      <c r="A12" s="137" t="s">
        <v>471</v>
      </c>
      <c r="B12" s="188">
        <v>43282</v>
      </c>
      <c r="C12" s="189" t="s">
        <v>465</v>
      </c>
      <c r="D12" s="192">
        <v>43282</v>
      </c>
      <c r="E12" s="193" t="s">
        <v>465</v>
      </c>
    </row>
    <row r="13" spans="1:5" ht="15.5" x14ac:dyDescent="0.35">
      <c r="A13" s="137" t="s">
        <v>265</v>
      </c>
      <c r="B13" s="188">
        <v>43191</v>
      </c>
      <c r="C13" s="189" t="s">
        <v>464</v>
      </c>
      <c r="D13" s="192">
        <v>43617</v>
      </c>
      <c r="E13" s="193" t="s">
        <v>464</v>
      </c>
    </row>
    <row r="14" spans="1:5" ht="77.150000000000006" customHeight="1" x14ac:dyDescent="0.35">
      <c r="A14" s="166"/>
      <c r="B14" s="389" t="s">
        <v>475</v>
      </c>
      <c r="C14" s="389"/>
      <c r="D14" s="389" t="s">
        <v>479</v>
      </c>
      <c r="E14" s="389"/>
    </row>
    <row r="15" spans="1:5" x14ac:dyDescent="0.35">
      <c r="A15" s="106"/>
      <c r="B15" s="19"/>
      <c r="C15" s="15"/>
      <c r="D15" s="15"/>
      <c r="E15" s="15"/>
    </row>
    <row r="16" spans="1:5" x14ac:dyDescent="0.35">
      <c r="A16" s="106"/>
      <c r="B16" s="19"/>
      <c r="C16" s="15"/>
      <c r="D16" s="15"/>
      <c r="E16" s="15"/>
    </row>
    <row r="17" spans="1:5" x14ac:dyDescent="0.35">
      <c r="A17" s="106"/>
      <c r="B17" s="19"/>
      <c r="C17" s="15"/>
      <c r="D17" s="15"/>
      <c r="E17" s="15"/>
    </row>
  </sheetData>
  <mergeCells count="4">
    <mergeCell ref="B3:C3"/>
    <mergeCell ref="D3:E3"/>
    <mergeCell ref="B14:C14"/>
    <mergeCell ref="D14: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G29"/>
  <sheetViews>
    <sheetView workbookViewId="0">
      <selection activeCell="E21" sqref="E21"/>
    </sheetView>
  </sheetViews>
  <sheetFormatPr defaultRowHeight="14.5" x14ac:dyDescent="0.35"/>
  <cols>
    <col min="6" max="6" width="14" bestFit="1" customWidth="1"/>
  </cols>
  <sheetData>
    <row r="1" spans="1:7" x14ac:dyDescent="0.35">
      <c r="B1" t="s">
        <v>755</v>
      </c>
      <c r="C1" t="s">
        <v>756</v>
      </c>
      <c r="D1" t="s">
        <v>757</v>
      </c>
      <c r="E1" t="s">
        <v>758</v>
      </c>
      <c r="F1" t="s">
        <v>759</v>
      </c>
      <c r="G1" s="261" t="s">
        <v>760</v>
      </c>
    </row>
    <row r="2" spans="1:7" x14ac:dyDescent="0.35">
      <c r="B2" t="s">
        <v>761</v>
      </c>
      <c r="C2" t="s">
        <v>762</v>
      </c>
      <c r="E2" t="s">
        <v>763</v>
      </c>
      <c r="F2" t="s">
        <v>764</v>
      </c>
      <c r="G2" s="261" t="s">
        <v>765</v>
      </c>
    </row>
    <row r="3" spans="1:7" x14ac:dyDescent="0.35">
      <c r="B3" t="str">
        <f>'[3]Monthly Prices'!B5</f>
        <v>Crude oil, average</v>
      </c>
      <c r="C3" t="str">
        <f>'[3]Monthly Prices'!BR5</f>
        <v>Gold</v>
      </c>
      <c r="D3" t="str">
        <f>'[3]Monthly Indices'!K9</f>
        <v>Timber</v>
      </c>
      <c r="E3" t="str">
        <f>'[3]Monthly Prices'!W5</f>
        <v>Palm oil</v>
      </c>
      <c r="F3" t="str">
        <f>'[3]Monthly Prices'!M5</f>
        <v>Coffee, Arabica</v>
      </c>
    </row>
    <row r="4" spans="1:7" x14ac:dyDescent="0.35">
      <c r="A4" s="262" t="s">
        <v>766</v>
      </c>
      <c r="B4" t="str">
        <f>'[3]Monthly Prices'!B6</f>
        <v>($/bbl)</v>
      </c>
      <c r="C4" t="str">
        <f>'[3]Monthly Prices'!BR6</f>
        <v>($/troy oz)</v>
      </c>
      <c r="D4" t="s">
        <v>767</v>
      </c>
      <c r="E4" t="str">
        <f>'[3]Monthly Prices'!W6</f>
        <v>($/mt)</v>
      </c>
      <c r="F4" t="str">
        <f>'[3]Monthly Prices'!M6</f>
        <v>($/kg)</v>
      </c>
      <c r="G4" s="261" t="s">
        <v>768</v>
      </c>
    </row>
    <row r="5" spans="1:7" x14ac:dyDescent="0.35">
      <c r="A5" t="str">
        <f>'[3]Monthly Prices'!A721</f>
        <v>2019M06</v>
      </c>
      <c r="B5" s="150">
        <v>59.76</v>
      </c>
      <c r="C5" s="150">
        <v>1359.04</v>
      </c>
      <c r="D5" s="150">
        <v>85.330159781969897</v>
      </c>
      <c r="E5" s="150">
        <v>552.19000000000005</v>
      </c>
      <c r="F5" s="150">
        <v>2.8600535260000002</v>
      </c>
      <c r="G5">
        <v>1</v>
      </c>
    </row>
    <row r="6" spans="1:7" x14ac:dyDescent="0.35">
      <c r="A6" t="str">
        <f>'[3]Monthly Prices'!A722</f>
        <v>2019M07</v>
      </c>
      <c r="B6" s="150">
        <v>61.476666666666702</v>
      </c>
      <c r="C6" s="150">
        <v>1412.89</v>
      </c>
      <c r="D6" s="150">
        <v>84.286439270136199</v>
      </c>
      <c r="E6" s="150">
        <v>543.88</v>
      </c>
      <c r="F6" s="150">
        <v>2.9865987139999999</v>
      </c>
      <c r="G6">
        <v>1.2</v>
      </c>
    </row>
    <row r="7" spans="1:7" x14ac:dyDescent="0.35">
      <c r="A7" t="str">
        <f>'[3]Monthly Prices'!A723</f>
        <v>2019M08</v>
      </c>
      <c r="B7" s="150">
        <v>57.67</v>
      </c>
      <c r="C7" s="150">
        <v>1500.41</v>
      </c>
      <c r="D7" s="150">
        <v>83.041479116683902</v>
      </c>
      <c r="E7" s="150">
        <v>586.12</v>
      </c>
      <c r="F7" s="150">
        <v>2.7828918260000002</v>
      </c>
      <c r="G7">
        <v>1.35</v>
      </c>
    </row>
    <row r="8" spans="1:7" x14ac:dyDescent="0.35">
      <c r="A8" t="str">
        <f>'[3]Monthly Prices'!A724</f>
        <v>2019M09</v>
      </c>
      <c r="B8" s="150">
        <v>60.04</v>
      </c>
      <c r="C8" s="150">
        <v>1510.58</v>
      </c>
      <c r="D8" s="150">
        <v>83.799810617206006</v>
      </c>
      <c r="E8" s="150">
        <v>580.29999999999995</v>
      </c>
      <c r="F8" s="150">
        <v>2.8415347180000001</v>
      </c>
      <c r="G8">
        <v>1.1000000000000001</v>
      </c>
    </row>
    <row r="9" spans="1:7" x14ac:dyDescent="0.35">
      <c r="A9" t="str">
        <f>'[3]Monthly Prices'!A725</f>
        <v>2019M10</v>
      </c>
      <c r="B9" s="150">
        <v>57.273333333333298</v>
      </c>
      <c r="C9" s="150">
        <v>1494.81</v>
      </c>
      <c r="D9" s="150">
        <v>85.100784731511396</v>
      </c>
      <c r="E9" s="150">
        <v>591.35</v>
      </c>
      <c r="F9" s="150">
        <v>2.799646938</v>
      </c>
      <c r="G9">
        <v>0.9</v>
      </c>
    </row>
    <row r="10" spans="1:7" x14ac:dyDescent="0.35">
      <c r="A10" t="str">
        <f>'[3]Monthly Prices'!A726</f>
        <v>2019M11</v>
      </c>
      <c r="B10" s="150">
        <v>60.4033333333333</v>
      </c>
      <c r="C10" s="150">
        <v>1470.79</v>
      </c>
      <c r="D10" s="150">
        <v>86.218259922701193</v>
      </c>
      <c r="E10" s="150">
        <v>683.38</v>
      </c>
      <c r="F10" s="150">
        <v>3.1080732759999998</v>
      </c>
      <c r="G10">
        <v>0.9</v>
      </c>
    </row>
    <row r="11" spans="1:7" x14ac:dyDescent="0.35">
      <c r="A11" t="str">
        <f>'[3]Monthly Prices'!A727</f>
        <v>2019M12</v>
      </c>
      <c r="B11" s="150">
        <v>63.353333333333303</v>
      </c>
      <c r="C11" s="150">
        <v>1479.13</v>
      </c>
      <c r="D11" s="150">
        <v>87.2571910834303</v>
      </c>
      <c r="E11" s="150">
        <v>769.93475699558201</v>
      </c>
      <c r="F11" s="150">
        <v>3.4550804639999999</v>
      </c>
      <c r="G11">
        <v>1.05</v>
      </c>
    </row>
    <row r="12" spans="1:7" x14ac:dyDescent="0.35">
      <c r="A12" t="str">
        <f>'[3]Monthly Prices'!A728</f>
        <v>2020M01</v>
      </c>
      <c r="B12" s="150">
        <v>61.626666666666701</v>
      </c>
      <c r="C12" s="150">
        <v>1560.67</v>
      </c>
      <c r="D12" s="150">
        <v>87.075294772374505</v>
      </c>
      <c r="E12" s="150">
        <v>810.07</v>
      </c>
      <c r="F12" s="150">
        <v>3.1347491779999999</v>
      </c>
      <c r="G12">
        <v>1.35</v>
      </c>
    </row>
    <row r="13" spans="1:7" x14ac:dyDescent="0.35">
      <c r="A13" t="str">
        <f>'[3]Monthly Prices'!A729</f>
        <v>2020M02</v>
      </c>
      <c r="B13" s="150">
        <v>53.3466666666667</v>
      </c>
      <c r="C13" s="150">
        <v>1597.1</v>
      </c>
      <c r="D13" s="150">
        <v>86.364164208036897</v>
      </c>
      <c r="E13" s="150">
        <v>728.81</v>
      </c>
      <c r="F13" s="150">
        <v>2.9872600999999999</v>
      </c>
      <c r="G13">
        <v>1.4750000000000001</v>
      </c>
    </row>
    <row r="14" spans="1:7" x14ac:dyDescent="0.35">
      <c r="A14" t="str">
        <f>'[3]Monthly Prices'!A730</f>
        <v>2020M03</v>
      </c>
      <c r="B14" s="150">
        <v>32.203333333333298</v>
      </c>
      <c r="C14" s="150">
        <v>1591.93</v>
      </c>
      <c r="D14" s="150">
        <v>84.004910722865802</v>
      </c>
      <c r="E14" s="150">
        <v>636.25</v>
      </c>
      <c r="F14" s="150">
        <v>3.270112846</v>
      </c>
      <c r="G14">
        <v>1.5</v>
      </c>
    </row>
    <row r="15" spans="1:7" x14ac:dyDescent="0.35">
      <c r="A15" t="str">
        <f>'[3]Monthly Prices'!A731</f>
        <v>2020M04</v>
      </c>
      <c r="B15" s="150">
        <v>21.043333333333301</v>
      </c>
      <c r="C15" s="150">
        <v>1683.17</v>
      </c>
      <c r="D15" s="150">
        <v>84.085087792106094</v>
      </c>
      <c r="E15" s="150">
        <v>608.88</v>
      </c>
      <c r="F15" s="150">
        <v>3.4065788239999999</v>
      </c>
      <c r="G15">
        <v>1.4</v>
      </c>
    </row>
    <row r="16" spans="1:7" x14ac:dyDescent="0.35">
      <c r="A16" t="str">
        <f>'[3]Monthly Prices'!A732</f>
        <v>2020M05</v>
      </c>
      <c r="B16" s="150">
        <v>30.38</v>
      </c>
      <c r="C16" s="150">
        <v>1715.91</v>
      </c>
      <c r="D16" s="150">
        <v>83.627773140070204</v>
      </c>
      <c r="E16" s="150">
        <v>573.88</v>
      </c>
      <c r="F16" s="150">
        <v>3.3034026079999999</v>
      </c>
      <c r="G16">
        <v>1.2</v>
      </c>
    </row>
    <row r="17" spans="1:7" x14ac:dyDescent="0.35">
      <c r="A17" t="str">
        <f>'[3]Monthly Prices'!A733</f>
        <v>2020M06</v>
      </c>
      <c r="B17" s="150">
        <v>39.456666666666699</v>
      </c>
      <c r="C17" s="150">
        <v>1732.22</v>
      </c>
      <c r="D17" s="150">
        <v>84.758165696519995</v>
      </c>
      <c r="E17" s="150">
        <v>651.58000000000004</v>
      </c>
      <c r="F17" s="150">
        <v>3.1164508319999999</v>
      </c>
      <c r="G17">
        <v>1.2</v>
      </c>
    </row>
    <row r="18" spans="1:7" x14ac:dyDescent="0.35">
      <c r="A18" s="261" t="s">
        <v>769</v>
      </c>
      <c r="B18" s="150"/>
      <c r="C18" s="150"/>
      <c r="D18" s="150"/>
      <c r="E18" s="150"/>
      <c r="F18" s="150"/>
      <c r="G18">
        <v>1.55</v>
      </c>
    </row>
    <row r="19" spans="1:7" x14ac:dyDescent="0.35">
      <c r="A19" s="262" t="s">
        <v>770</v>
      </c>
    </row>
    <row r="20" spans="1:7" x14ac:dyDescent="0.35">
      <c r="A20" s="263"/>
      <c r="B20" s="150" t="s">
        <v>755</v>
      </c>
      <c r="C20" s="150" t="s">
        <v>756</v>
      </c>
      <c r="D20" s="150" t="s">
        <v>757</v>
      </c>
      <c r="E20" s="150" t="s">
        <v>758</v>
      </c>
      <c r="F20" s="150" t="s">
        <v>759</v>
      </c>
      <c r="G20" s="150" t="s">
        <v>760</v>
      </c>
    </row>
    <row r="21" spans="1:7" x14ac:dyDescent="0.35">
      <c r="A21" t="s">
        <v>771</v>
      </c>
      <c r="B21" s="150">
        <f t="shared" ref="B21:G26" si="0">B12/B$12</f>
        <v>1</v>
      </c>
      <c r="C21" s="150">
        <f t="shared" si="0"/>
        <v>1</v>
      </c>
      <c r="D21" s="150">
        <f t="shared" si="0"/>
        <v>1</v>
      </c>
      <c r="E21" s="150">
        <f t="shared" si="0"/>
        <v>1</v>
      </c>
      <c r="F21" s="150">
        <f t="shared" si="0"/>
        <v>1</v>
      </c>
      <c r="G21" s="150">
        <f t="shared" si="0"/>
        <v>1</v>
      </c>
    </row>
    <row r="22" spans="1:7" x14ac:dyDescent="0.35">
      <c r="A22" t="s">
        <v>772</v>
      </c>
      <c r="B22" s="150">
        <f t="shared" si="0"/>
        <v>0.86564257897014285</v>
      </c>
      <c r="C22" s="150">
        <f t="shared" si="0"/>
        <v>1.0233425387814208</v>
      </c>
      <c r="D22" s="150">
        <f t="shared" si="0"/>
        <v>0.99183315352309065</v>
      </c>
      <c r="E22" s="150">
        <f t="shared" si="0"/>
        <v>0.89968768131149146</v>
      </c>
      <c r="F22" s="150">
        <f t="shared" si="0"/>
        <v>0.95295027779731345</v>
      </c>
      <c r="G22" s="150">
        <f t="shared" si="0"/>
        <v>1.0925925925925926</v>
      </c>
    </row>
    <row r="23" spans="1:7" x14ac:dyDescent="0.35">
      <c r="A23" t="s">
        <v>773</v>
      </c>
      <c r="B23" s="150">
        <f t="shared" si="0"/>
        <v>0.52255517092167802</v>
      </c>
      <c r="C23" s="150">
        <f t="shared" si="0"/>
        <v>1.0200298589708265</v>
      </c>
      <c r="D23" s="150">
        <f t="shared" si="0"/>
        <v>0.96473874642015212</v>
      </c>
      <c r="E23" s="150">
        <f t="shared" si="0"/>
        <v>0.78542595084375422</v>
      </c>
      <c r="F23" s="150">
        <f t="shared" si="0"/>
        <v>1.0431816583444686</v>
      </c>
      <c r="G23" s="150">
        <f t="shared" si="0"/>
        <v>1.1111111111111109</v>
      </c>
    </row>
    <row r="24" spans="1:7" x14ac:dyDescent="0.35">
      <c r="A24" t="s">
        <v>774</v>
      </c>
      <c r="B24" s="150">
        <f t="shared" si="0"/>
        <v>0.34146473388143589</v>
      </c>
      <c r="C24" s="150">
        <f t="shared" si="0"/>
        <v>1.078491929748121</v>
      </c>
      <c r="D24" s="150">
        <f t="shared" si="0"/>
        <v>0.96565952503422259</v>
      </c>
      <c r="E24" s="150">
        <f t="shared" si="0"/>
        <v>0.75163874726875446</v>
      </c>
      <c r="F24" s="150">
        <f t="shared" si="0"/>
        <v>1.0867149588578662</v>
      </c>
      <c r="G24" s="150">
        <f t="shared" si="0"/>
        <v>1.037037037037037</v>
      </c>
    </row>
    <row r="25" spans="1:7" x14ac:dyDescent="0.35">
      <c r="A25" t="s">
        <v>775</v>
      </c>
      <c r="B25" s="150">
        <f t="shared" si="0"/>
        <v>0.4929684119428816</v>
      </c>
      <c r="C25" s="150">
        <f t="shared" si="0"/>
        <v>1.0994700993803943</v>
      </c>
      <c r="D25" s="150">
        <f t="shared" si="0"/>
        <v>0.96040758011423855</v>
      </c>
      <c r="E25" s="150">
        <f t="shared" si="0"/>
        <v>0.70843260458972679</v>
      </c>
      <c r="F25" s="150">
        <f t="shared" si="0"/>
        <v>1.0538012518461213</v>
      </c>
      <c r="G25" s="150">
        <f t="shared" si="0"/>
        <v>0.88888888888888884</v>
      </c>
    </row>
    <row r="26" spans="1:7" x14ac:dyDescent="0.35">
      <c r="A26" t="s">
        <v>776</v>
      </c>
      <c r="B26" s="150">
        <f t="shared" si="0"/>
        <v>0.64025313717005639</v>
      </c>
      <c r="C26" s="150">
        <f t="shared" si="0"/>
        <v>1.1099207391697155</v>
      </c>
      <c r="D26" s="150">
        <f t="shared" si="0"/>
        <v>0.97338936282774846</v>
      </c>
      <c r="E26" s="150">
        <f t="shared" si="0"/>
        <v>0.80435024133716837</v>
      </c>
      <c r="F26" s="150">
        <f t="shared" si="0"/>
        <v>0.99416273999578031</v>
      </c>
      <c r="G26" s="150">
        <f t="shared" si="0"/>
        <v>0.88888888888888884</v>
      </c>
    </row>
    <row r="27" spans="1:7" x14ac:dyDescent="0.35">
      <c r="A27" s="261" t="s">
        <v>777</v>
      </c>
      <c r="G27" s="150">
        <f>G18/G$12</f>
        <v>1.1481481481481481</v>
      </c>
    </row>
    <row r="29" spans="1:7" x14ac:dyDescent="0.35">
      <c r="A29" t="s">
        <v>778</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Q51"/>
  <sheetViews>
    <sheetView zoomScale="90" zoomScaleNormal="90" zoomScaleSheetLayoutView="100" workbookViewId="0">
      <selection activeCell="D40" sqref="D40"/>
    </sheetView>
  </sheetViews>
  <sheetFormatPr defaultRowHeight="14.5" x14ac:dyDescent="0.35"/>
  <cols>
    <col min="1" max="1" width="2.81640625" customWidth="1"/>
    <col min="2" max="2" width="23.1796875" bestFit="1" customWidth="1"/>
    <col min="3" max="3" width="38.1796875" customWidth="1"/>
    <col min="4" max="4" width="25.7265625" bestFit="1" customWidth="1"/>
    <col min="5" max="5" width="18.81640625" customWidth="1"/>
    <col min="6" max="6" width="13.81640625" customWidth="1"/>
  </cols>
  <sheetData>
    <row r="1" spans="1:14" s="8" customFormat="1" x14ac:dyDescent="0.35">
      <c r="A1"/>
      <c r="B1" s="390" t="s">
        <v>736</v>
      </c>
      <c r="C1" s="391"/>
      <c r="D1" s="248"/>
      <c r="E1" s="249"/>
      <c r="F1" s="250"/>
      <c r="G1"/>
      <c r="H1"/>
      <c r="I1"/>
      <c r="J1"/>
      <c r="K1"/>
      <c r="L1"/>
      <c r="M1"/>
      <c r="N1"/>
    </row>
    <row r="2" spans="1:14" x14ac:dyDescent="0.35">
      <c r="B2" s="251" t="s">
        <v>737</v>
      </c>
      <c r="C2" s="243"/>
      <c r="D2" s="243"/>
      <c r="E2" s="252"/>
      <c r="F2" s="253"/>
    </row>
    <row r="3" spans="1:14" x14ac:dyDescent="0.35">
      <c r="B3" s="251" t="s">
        <v>738</v>
      </c>
      <c r="C3" s="243"/>
      <c r="D3" s="243"/>
      <c r="E3" s="252"/>
      <c r="F3" s="253"/>
    </row>
    <row r="4" spans="1:14" x14ac:dyDescent="0.35">
      <c r="B4" s="251"/>
      <c r="C4" s="243"/>
      <c r="D4" s="243"/>
      <c r="E4" s="252"/>
      <c r="F4" s="253"/>
    </row>
    <row r="5" spans="1:14" ht="29" x14ac:dyDescent="0.35">
      <c r="B5" s="257" t="s">
        <v>739</v>
      </c>
      <c r="C5" s="259" t="s">
        <v>740</v>
      </c>
      <c r="D5" s="258" t="s">
        <v>741</v>
      </c>
      <c r="E5" s="259" t="s">
        <v>742</v>
      </c>
      <c r="F5" s="260" t="s">
        <v>743</v>
      </c>
    </row>
    <row r="6" spans="1:14" x14ac:dyDescent="0.35">
      <c r="B6" s="251">
        <v>2017</v>
      </c>
      <c r="C6" s="243" t="s">
        <v>748</v>
      </c>
      <c r="D6" s="243">
        <f t="shared" ref="D6:D16" si="0">(E6/F6)*100</f>
        <v>6.7274589910414004E-2</v>
      </c>
      <c r="E6" s="243">
        <v>15300000</v>
      </c>
      <c r="F6" s="253">
        <v>22742613549</v>
      </c>
    </row>
    <row r="7" spans="1:14" x14ac:dyDescent="0.35">
      <c r="B7" s="251">
        <v>2017</v>
      </c>
      <c r="C7" s="243" t="s">
        <v>753</v>
      </c>
      <c r="D7" s="243">
        <f t="shared" si="0"/>
        <v>2.209379065787934</v>
      </c>
      <c r="E7" s="243">
        <v>4100000</v>
      </c>
      <c r="F7" s="254">
        <v>185572501.5</v>
      </c>
    </row>
    <row r="8" spans="1:14" x14ac:dyDescent="0.35">
      <c r="B8" s="251">
        <v>2018</v>
      </c>
      <c r="C8" s="243" t="s">
        <v>754</v>
      </c>
      <c r="D8" s="243">
        <f t="shared" si="0"/>
        <v>4.9725503680815022</v>
      </c>
      <c r="E8" s="243">
        <v>78000000</v>
      </c>
      <c r="F8" s="254">
        <v>1568611562</v>
      </c>
    </row>
    <row r="9" spans="1:14" x14ac:dyDescent="0.35">
      <c r="B9" s="251">
        <v>2015</v>
      </c>
      <c r="C9" s="243" t="s">
        <v>747</v>
      </c>
      <c r="D9" s="243">
        <f t="shared" si="0"/>
        <v>5.1963795448402648</v>
      </c>
      <c r="E9" s="243">
        <v>60000000</v>
      </c>
      <c r="F9" s="253">
        <v>1154650069</v>
      </c>
    </row>
    <row r="10" spans="1:14" x14ac:dyDescent="0.35">
      <c r="B10" s="251">
        <v>2015</v>
      </c>
      <c r="C10" s="243" t="s">
        <v>751</v>
      </c>
      <c r="D10" s="243">
        <f t="shared" si="0"/>
        <v>7.8991450431454862</v>
      </c>
      <c r="E10" s="243">
        <v>25000000</v>
      </c>
      <c r="F10" s="254">
        <v>316489947.5</v>
      </c>
    </row>
    <row r="11" spans="1:14" x14ac:dyDescent="0.35">
      <c r="B11" s="251">
        <v>2018</v>
      </c>
      <c r="C11" s="243" t="s">
        <v>749</v>
      </c>
      <c r="D11" s="243">
        <f t="shared" si="0"/>
        <v>9.0835962002548829</v>
      </c>
      <c r="E11" s="243">
        <v>20100000</v>
      </c>
      <c r="F11" s="253">
        <v>221278000</v>
      </c>
    </row>
    <row r="12" spans="1:14" x14ac:dyDescent="0.35">
      <c r="B12" s="251">
        <v>2018</v>
      </c>
      <c r="C12" s="243" t="s">
        <v>752</v>
      </c>
      <c r="D12" s="243">
        <f t="shared" si="0"/>
        <v>10.680503177263287</v>
      </c>
      <c r="E12" s="243">
        <v>48100000</v>
      </c>
      <c r="F12" s="254">
        <v>450353313.89999998</v>
      </c>
    </row>
    <row r="13" spans="1:14" x14ac:dyDescent="0.35">
      <c r="B13" s="251">
        <v>2016</v>
      </c>
      <c r="C13" s="243" t="s">
        <v>745</v>
      </c>
      <c r="D13" s="243">
        <f t="shared" si="0"/>
        <v>23.305322634282277</v>
      </c>
      <c r="E13" s="243">
        <v>1149000000</v>
      </c>
      <c r="F13" s="253">
        <v>4930204220</v>
      </c>
    </row>
    <row r="14" spans="1:14" x14ac:dyDescent="0.35">
      <c r="B14" s="251">
        <v>2018</v>
      </c>
      <c r="C14" s="243" t="s">
        <v>750</v>
      </c>
      <c r="D14" s="243">
        <f t="shared" si="0"/>
        <v>23.315284856760282</v>
      </c>
      <c r="E14" s="243">
        <v>191300000</v>
      </c>
      <c r="F14" s="254">
        <v>820491798.29999995</v>
      </c>
    </row>
    <row r="15" spans="1:14" x14ac:dyDescent="0.35">
      <c r="B15" s="251">
        <v>2014</v>
      </c>
      <c r="C15" s="243" t="s">
        <v>744</v>
      </c>
      <c r="D15" s="243">
        <f t="shared" si="0"/>
        <v>34.84857955355281</v>
      </c>
      <c r="E15" s="243">
        <v>284000000</v>
      </c>
      <c r="F15" s="253">
        <v>814954307</v>
      </c>
    </row>
    <row r="16" spans="1:14" ht="15" thickBot="1" x14ac:dyDescent="0.4">
      <c r="B16" s="255">
        <v>2018</v>
      </c>
      <c r="C16" s="256" t="s">
        <v>746</v>
      </c>
      <c r="D16" s="256">
        <f t="shared" si="0"/>
        <v>49.312687754726689</v>
      </c>
      <c r="E16" s="256">
        <v>148000000</v>
      </c>
      <c r="F16" s="282">
        <v>300125600</v>
      </c>
    </row>
    <row r="22" spans="2:17" x14ac:dyDescent="0.35">
      <c r="C22" s="8" t="s">
        <v>731</v>
      </c>
      <c r="D22" s="8" t="s">
        <v>732</v>
      </c>
      <c r="E22" s="8"/>
      <c r="F22" s="8"/>
      <c r="G22" s="8" t="s">
        <v>733</v>
      </c>
      <c r="H22" s="8" t="s">
        <v>734</v>
      </c>
    </row>
    <row r="23" spans="2:17" x14ac:dyDescent="0.35">
      <c r="B23" t="s">
        <v>390</v>
      </c>
      <c r="C23" s="238">
        <v>1</v>
      </c>
      <c r="D23" s="238">
        <v>3</v>
      </c>
      <c r="F23" t="s">
        <v>263</v>
      </c>
      <c r="G23">
        <v>2</v>
      </c>
      <c r="H23" s="238">
        <v>1</v>
      </c>
      <c r="I23" s="8"/>
      <c r="J23" s="8"/>
      <c r="K23" s="8"/>
      <c r="L23" s="8"/>
      <c r="M23" s="8"/>
    </row>
    <row r="24" spans="2:17" x14ac:dyDescent="0.35">
      <c r="B24" t="s">
        <v>55</v>
      </c>
      <c r="C24">
        <f>C23+1</f>
        <v>2</v>
      </c>
      <c r="D24" s="238">
        <v>9</v>
      </c>
      <c r="F24" t="s">
        <v>627</v>
      </c>
      <c r="G24">
        <v>8</v>
      </c>
      <c r="H24">
        <v>4</v>
      </c>
    </row>
    <row r="25" spans="2:17" x14ac:dyDescent="0.35">
      <c r="B25" t="s">
        <v>328</v>
      </c>
      <c r="C25">
        <f t="shared" ref="C25:C34" si="1">C24+1</f>
        <v>3</v>
      </c>
      <c r="D25" s="238">
        <v>7</v>
      </c>
      <c r="F25" t="s">
        <v>512</v>
      </c>
      <c r="G25">
        <v>6</v>
      </c>
      <c r="H25">
        <v>3</v>
      </c>
    </row>
    <row r="26" spans="2:17" x14ac:dyDescent="0.35">
      <c r="B26" t="s">
        <v>493</v>
      </c>
      <c r="C26">
        <f t="shared" si="1"/>
        <v>4</v>
      </c>
      <c r="D26" s="238">
        <v>1</v>
      </c>
      <c r="F26" t="s">
        <v>493</v>
      </c>
      <c r="G26">
        <f>D26</f>
        <v>1</v>
      </c>
      <c r="H26">
        <v>2</v>
      </c>
    </row>
    <row r="27" spans="2:17" x14ac:dyDescent="0.35">
      <c r="B27" t="s">
        <v>469</v>
      </c>
      <c r="C27">
        <f t="shared" si="1"/>
        <v>5</v>
      </c>
      <c r="D27" s="238">
        <v>8</v>
      </c>
      <c r="F27" t="s">
        <v>735</v>
      </c>
      <c r="G27">
        <v>7</v>
      </c>
      <c r="H27">
        <v>6</v>
      </c>
    </row>
    <row r="28" spans="2:17" x14ac:dyDescent="0.35">
      <c r="B28" t="s">
        <v>492</v>
      </c>
      <c r="C28">
        <f t="shared" si="1"/>
        <v>6</v>
      </c>
      <c r="D28" s="238">
        <v>4</v>
      </c>
      <c r="F28" t="s">
        <v>511</v>
      </c>
      <c r="G28">
        <v>3</v>
      </c>
      <c r="H28">
        <v>5</v>
      </c>
    </row>
    <row r="29" spans="2:17" x14ac:dyDescent="0.35">
      <c r="B29" t="s">
        <v>471</v>
      </c>
      <c r="C29">
        <f t="shared" si="1"/>
        <v>7</v>
      </c>
      <c r="D29" s="238">
        <v>2</v>
      </c>
      <c r="F29" t="s">
        <v>265</v>
      </c>
      <c r="G29">
        <v>10</v>
      </c>
      <c r="H29">
        <v>10</v>
      </c>
    </row>
    <row r="30" spans="2:17" x14ac:dyDescent="0.35">
      <c r="B30" t="s">
        <v>265</v>
      </c>
      <c r="C30">
        <f t="shared" si="1"/>
        <v>8</v>
      </c>
      <c r="D30" s="238">
        <v>11</v>
      </c>
      <c r="F30" t="s">
        <v>266</v>
      </c>
      <c r="G30">
        <v>4</v>
      </c>
      <c r="H30">
        <v>7</v>
      </c>
      <c r="I30" s="236"/>
      <c r="J30" s="236"/>
      <c r="K30" s="236"/>
      <c r="L30" s="236"/>
      <c r="M30" s="236"/>
      <c r="N30" s="236"/>
      <c r="O30" s="236"/>
      <c r="P30" s="236"/>
      <c r="Q30" s="116"/>
    </row>
    <row r="31" spans="2:17" x14ac:dyDescent="0.35">
      <c r="B31" t="s">
        <v>266</v>
      </c>
      <c r="C31">
        <f t="shared" si="1"/>
        <v>9</v>
      </c>
      <c r="D31" s="238">
        <v>5</v>
      </c>
      <c r="F31" t="s">
        <v>269</v>
      </c>
      <c r="G31">
        <v>5</v>
      </c>
      <c r="H31">
        <v>9</v>
      </c>
      <c r="I31" s="236"/>
      <c r="J31" s="236"/>
      <c r="K31" s="236"/>
      <c r="L31" s="236"/>
      <c r="M31" s="236"/>
      <c r="N31" s="236"/>
      <c r="O31" s="236"/>
      <c r="P31" s="236"/>
      <c r="Q31" s="116"/>
    </row>
    <row r="32" spans="2:17" x14ac:dyDescent="0.35">
      <c r="B32" t="s">
        <v>269</v>
      </c>
      <c r="C32">
        <f t="shared" si="1"/>
        <v>10</v>
      </c>
      <c r="D32" s="238">
        <v>6</v>
      </c>
      <c r="F32" t="str">
        <f>B33</f>
        <v>Fiji</v>
      </c>
      <c r="G32">
        <v>11</v>
      </c>
      <c r="H32">
        <v>8</v>
      </c>
      <c r="I32" s="236"/>
      <c r="J32" s="236"/>
      <c r="K32" s="236"/>
      <c r="L32" s="236"/>
      <c r="M32" s="236"/>
      <c r="N32" s="283"/>
      <c r="O32" s="283"/>
      <c r="P32" s="236"/>
      <c r="Q32" s="116"/>
    </row>
    <row r="33" spans="2:17" x14ac:dyDescent="0.35">
      <c r="B33" t="s">
        <v>264</v>
      </c>
      <c r="C33">
        <f t="shared" si="1"/>
        <v>11</v>
      </c>
      <c r="D33" s="238">
        <v>12</v>
      </c>
      <c r="F33" t="str">
        <f>B34</f>
        <v>Palau</v>
      </c>
      <c r="G33">
        <v>9</v>
      </c>
      <c r="H33">
        <v>11</v>
      </c>
      <c r="I33" s="236"/>
      <c r="J33" s="236"/>
      <c r="K33" s="236"/>
      <c r="L33" s="236"/>
      <c r="M33" s="236"/>
      <c r="N33" s="236"/>
      <c r="O33" s="236"/>
      <c r="P33" s="236"/>
      <c r="Q33" s="116"/>
    </row>
    <row r="34" spans="2:17" x14ac:dyDescent="0.35">
      <c r="B34" t="s">
        <v>495</v>
      </c>
      <c r="C34">
        <f t="shared" si="1"/>
        <v>12</v>
      </c>
      <c r="D34" s="238">
        <v>10</v>
      </c>
      <c r="I34" s="236"/>
      <c r="J34" s="236"/>
      <c r="K34" s="236"/>
      <c r="L34" s="236"/>
      <c r="M34" s="236"/>
      <c r="N34" s="236"/>
      <c r="O34" s="236"/>
      <c r="P34" s="236"/>
      <c r="Q34" s="116"/>
    </row>
    <row r="35" spans="2:17" x14ac:dyDescent="0.35">
      <c r="B35" t="s">
        <v>811</v>
      </c>
      <c r="C35">
        <f>CORREL(C23:C34,D23:D34)</f>
        <v>0.43356643356643365</v>
      </c>
      <c r="F35" t="s">
        <v>811</v>
      </c>
      <c r="G35">
        <f>CORREL(G23:G34,H23:H34)</f>
        <v>0.68181818181818177</v>
      </c>
      <c r="I35" s="236"/>
      <c r="J35" s="236"/>
      <c r="K35" s="236"/>
      <c r="L35" s="236"/>
      <c r="M35" s="236"/>
      <c r="N35" s="236"/>
      <c r="O35" s="236"/>
      <c r="P35" s="236"/>
      <c r="Q35" s="116"/>
    </row>
    <row r="36" spans="2:17" x14ac:dyDescent="0.35">
      <c r="I36" s="236"/>
      <c r="J36" s="236"/>
      <c r="K36" s="236"/>
      <c r="L36" s="236"/>
      <c r="M36" s="236"/>
      <c r="N36" s="236"/>
      <c r="O36" s="236"/>
      <c r="P36" s="236"/>
      <c r="Q36" s="116"/>
    </row>
    <row r="37" spans="2:17" x14ac:dyDescent="0.35">
      <c r="I37" s="236"/>
      <c r="J37" s="236"/>
      <c r="K37" s="236"/>
      <c r="L37" s="236"/>
      <c r="M37" s="236"/>
      <c r="N37" s="236"/>
      <c r="O37" s="236"/>
      <c r="P37" s="236"/>
      <c r="Q37" s="116"/>
    </row>
    <row r="38" spans="2:17" x14ac:dyDescent="0.35">
      <c r="I38" s="236"/>
      <c r="J38" s="236"/>
      <c r="K38" s="236"/>
      <c r="L38" s="236"/>
      <c r="M38" s="236"/>
      <c r="N38" s="236"/>
      <c r="O38" s="236"/>
      <c r="P38" s="236"/>
      <c r="Q38" s="116"/>
    </row>
    <row r="39" spans="2:17" x14ac:dyDescent="0.35">
      <c r="I39" s="236"/>
      <c r="J39" s="236"/>
      <c r="K39" s="236"/>
      <c r="L39" s="236"/>
      <c r="M39" s="236"/>
      <c r="N39" s="236"/>
      <c r="O39" s="236"/>
      <c r="P39" s="236"/>
      <c r="Q39" s="116"/>
    </row>
    <row r="40" spans="2:17" x14ac:dyDescent="0.35">
      <c r="I40" s="236"/>
      <c r="J40" s="236"/>
      <c r="K40" s="236"/>
      <c r="L40" s="236"/>
      <c r="M40" s="236"/>
      <c r="N40" s="236"/>
      <c r="O40" s="236"/>
      <c r="P40" s="236"/>
      <c r="Q40" s="116"/>
    </row>
    <row r="41" spans="2:17" x14ac:dyDescent="0.35">
      <c r="I41" s="236"/>
      <c r="J41" s="236"/>
      <c r="K41" s="236"/>
      <c r="L41" s="236"/>
      <c r="M41" s="236"/>
      <c r="N41" s="236"/>
      <c r="O41" s="236"/>
      <c r="P41" s="236"/>
      <c r="Q41" s="116"/>
    </row>
    <row r="42" spans="2:17" x14ac:dyDescent="0.35">
      <c r="I42" s="236"/>
      <c r="J42" s="236"/>
      <c r="K42" s="236"/>
      <c r="L42" s="236"/>
      <c r="M42" s="236"/>
      <c r="N42" s="236"/>
      <c r="O42" s="236"/>
      <c r="P42" s="236"/>
      <c r="Q42" s="116"/>
    </row>
    <row r="43" spans="2:17" x14ac:dyDescent="0.35">
      <c r="I43" s="236"/>
      <c r="J43" s="236"/>
      <c r="K43" s="236"/>
      <c r="L43" s="236"/>
      <c r="M43" s="236"/>
      <c r="N43" s="236"/>
      <c r="O43" s="236"/>
      <c r="P43" s="236"/>
      <c r="Q43" s="116"/>
    </row>
    <row r="44" spans="2:17" x14ac:dyDescent="0.35">
      <c r="I44" s="236"/>
      <c r="J44" s="236"/>
      <c r="K44" s="236"/>
      <c r="L44" s="236"/>
      <c r="M44" s="236"/>
      <c r="N44" s="236"/>
      <c r="O44" s="236"/>
      <c r="P44" s="236"/>
      <c r="Q44" s="116"/>
    </row>
    <row r="45" spans="2:17" x14ac:dyDescent="0.35">
      <c r="I45" s="236"/>
      <c r="J45" s="236"/>
      <c r="K45" s="236"/>
      <c r="L45" s="236"/>
      <c r="M45" s="236"/>
      <c r="N45" s="236"/>
      <c r="O45" s="236"/>
      <c r="P45" s="236"/>
      <c r="Q45" s="116"/>
    </row>
    <row r="46" spans="2:17" x14ac:dyDescent="0.35">
      <c r="I46" s="236"/>
      <c r="J46" s="236"/>
      <c r="K46" s="236"/>
      <c r="L46" s="236"/>
      <c r="M46" s="236"/>
      <c r="N46" s="236"/>
      <c r="O46" s="236"/>
      <c r="P46" s="236"/>
      <c r="Q46" s="116"/>
    </row>
    <row r="47" spans="2:17" x14ac:dyDescent="0.35">
      <c r="I47" s="236"/>
      <c r="J47" s="236"/>
      <c r="K47" s="236"/>
      <c r="L47" s="236"/>
      <c r="M47" s="236"/>
      <c r="N47" s="236"/>
      <c r="O47" s="236"/>
      <c r="P47" s="236"/>
      <c r="Q47" s="116"/>
    </row>
    <row r="48" spans="2:17" x14ac:dyDescent="0.35">
      <c r="I48" s="236"/>
      <c r="J48" s="236"/>
      <c r="K48" s="236"/>
      <c r="L48" s="236"/>
      <c r="M48" s="236"/>
      <c r="N48" s="236"/>
      <c r="O48" s="236"/>
      <c r="P48" s="236"/>
      <c r="Q48" s="116"/>
    </row>
    <row r="49" spans="9:17" x14ac:dyDescent="0.35">
      <c r="I49" s="116"/>
      <c r="J49" s="116"/>
      <c r="K49" s="116"/>
      <c r="L49" s="116"/>
      <c r="M49" s="116"/>
      <c r="N49" s="116"/>
      <c r="O49" s="116"/>
      <c r="P49" s="116"/>
      <c r="Q49" s="116"/>
    </row>
    <row r="50" spans="9:17" x14ac:dyDescent="0.35">
      <c r="I50" s="116"/>
      <c r="J50" s="116"/>
      <c r="K50" s="116"/>
      <c r="L50" s="116"/>
      <c r="M50" s="116"/>
      <c r="N50" s="116"/>
      <c r="O50" s="116"/>
      <c r="P50" s="116"/>
      <c r="Q50" s="116"/>
    </row>
    <row r="51" spans="9:17" x14ac:dyDescent="0.35">
      <c r="I51" s="116"/>
      <c r="J51" s="116"/>
      <c r="K51" s="116"/>
      <c r="L51" s="116"/>
      <c r="M51" s="116"/>
      <c r="N51" s="116"/>
      <c r="O51" s="116"/>
      <c r="P51" s="116"/>
      <c r="Q51" s="116"/>
    </row>
  </sheetData>
  <sortState xmlns:xlrd2="http://schemas.microsoft.com/office/spreadsheetml/2017/richdata2" ref="B6:F16">
    <sortCondition ref="D6:D16"/>
  </sortState>
  <mergeCells count="1">
    <mergeCell ref="B1:C1"/>
  </mergeCells>
  <pageMargins left="0.7" right="0.7" top="0.75" bottom="0.75" header="0.3" footer="0.3"/>
  <pageSetup paperSize="9" orientation="portrait" horizontalDpi="4294967293"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X49"/>
  <sheetViews>
    <sheetView topLeftCell="A23" zoomScale="110" zoomScaleNormal="110" workbookViewId="0">
      <selection activeCell="L51" sqref="L51"/>
    </sheetView>
  </sheetViews>
  <sheetFormatPr defaultColWidth="8.7265625" defaultRowHeight="12.5" x14ac:dyDescent="0.25"/>
  <cols>
    <col min="1" max="1" width="27.453125" style="264" customWidth="1"/>
    <col min="2" max="2" width="2.453125" style="264" customWidth="1"/>
    <col min="3" max="11" width="8.7265625" style="264"/>
    <col min="12" max="12" width="24.81640625" style="264" customWidth="1"/>
    <col min="13" max="16384" width="8.7265625" style="264"/>
  </cols>
  <sheetData>
    <row r="1" spans="1:11" hidden="1" x14ac:dyDescent="0.25">
      <c r="A1" s="276" t="e">
        <f ca="1">DotStatQuery(B1)</f>
        <v>#NAME?</v>
      </c>
      <c r="B1" s="276" t="s">
        <v>807</v>
      </c>
    </row>
    <row r="2" spans="1:11" ht="34.5" x14ac:dyDescent="0.25">
      <c r="A2" s="275" t="s">
        <v>803</v>
      </c>
    </row>
    <row r="3" spans="1:11" x14ac:dyDescent="0.25">
      <c r="A3" s="392" t="s">
        <v>802</v>
      </c>
      <c r="B3" s="393"/>
      <c r="C3" s="394" t="s">
        <v>801</v>
      </c>
      <c r="D3" s="395"/>
      <c r="E3" s="395"/>
      <c r="F3" s="395"/>
      <c r="G3" s="395"/>
      <c r="H3" s="395"/>
      <c r="I3" s="395"/>
      <c r="J3" s="395"/>
      <c r="K3" s="396"/>
    </row>
    <row r="4" spans="1:11" x14ac:dyDescent="0.25">
      <c r="A4" s="392" t="s">
        <v>800</v>
      </c>
      <c r="B4" s="393"/>
      <c r="C4" s="394" t="s">
        <v>799</v>
      </c>
      <c r="D4" s="395"/>
      <c r="E4" s="395"/>
      <c r="F4" s="395"/>
      <c r="G4" s="395"/>
      <c r="H4" s="395"/>
      <c r="I4" s="395"/>
      <c r="J4" s="395"/>
      <c r="K4" s="396"/>
    </row>
    <row r="5" spans="1:11" x14ac:dyDescent="0.25">
      <c r="A5" s="392" t="s">
        <v>798</v>
      </c>
      <c r="B5" s="393"/>
      <c r="C5" s="394" t="s">
        <v>797</v>
      </c>
      <c r="D5" s="395"/>
      <c r="E5" s="395"/>
      <c r="F5" s="395"/>
      <c r="G5" s="395"/>
      <c r="H5" s="395"/>
      <c r="I5" s="395"/>
      <c r="J5" s="395"/>
      <c r="K5" s="396"/>
    </row>
    <row r="6" spans="1:11" x14ac:dyDescent="0.25">
      <c r="A6" s="392" t="s">
        <v>796</v>
      </c>
      <c r="B6" s="393"/>
      <c r="C6" s="394" t="s">
        <v>795</v>
      </c>
      <c r="D6" s="395"/>
      <c r="E6" s="395"/>
      <c r="F6" s="395"/>
      <c r="G6" s="395"/>
      <c r="H6" s="395"/>
      <c r="I6" s="395"/>
      <c r="J6" s="395"/>
      <c r="K6" s="396"/>
    </row>
    <row r="7" spans="1:11" x14ac:dyDescent="0.25">
      <c r="A7" s="392" t="s">
        <v>794</v>
      </c>
      <c r="B7" s="393"/>
      <c r="C7" s="394" t="s">
        <v>600</v>
      </c>
      <c r="D7" s="395"/>
      <c r="E7" s="395"/>
      <c r="F7" s="395"/>
      <c r="G7" s="395"/>
      <c r="H7" s="395"/>
      <c r="I7" s="395"/>
      <c r="J7" s="395"/>
      <c r="K7" s="396"/>
    </row>
    <row r="8" spans="1:11" x14ac:dyDescent="0.25">
      <c r="A8" s="397" t="s">
        <v>739</v>
      </c>
      <c r="B8" s="398"/>
      <c r="C8" s="274" t="s">
        <v>379</v>
      </c>
      <c r="D8" s="274" t="s">
        <v>380</v>
      </c>
      <c r="E8" s="274" t="s">
        <v>381</v>
      </c>
      <c r="F8" s="274" t="s">
        <v>382</v>
      </c>
      <c r="G8" s="274" t="s">
        <v>383</v>
      </c>
      <c r="H8" s="274" t="s">
        <v>384</v>
      </c>
      <c r="I8" s="274" t="s">
        <v>385</v>
      </c>
      <c r="J8" s="274" t="s">
        <v>386</v>
      </c>
      <c r="K8" s="274" t="s">
        <v>387</v>
      </c>
    </row>
    <row r="9" spans="1:11" ht="13" x14ac:dyDescent="0.3">
      <c r="A9" s="273" t="s">
        <v>793</v>
      </c>
      <c r="B9" s="269" t="s">
        <v>792</v>
      </c>
      <c r="C9" s="269" t="s">
        <v>779</v>
      </c>
      <c r="D9" s="269" t="s">
        <v>779</v>
      </c>
      <c r="E9" s="269" t="s">
        <v>779</v>
      </c>
      <c r="F9" s="269" t="s">
        <v>779</v>
      </c>
      <c r="G9" s="269" t="s">
        <v>779</v>
      </c>
      <c r="H9" s="269" t="s">
        <v>779</v>
      </c>
      <c r="I9" s="269" t="s">
        <v>779</v>
      </c>
      <c r="J9" s="269" t="s">
        <v>779</v>
      </c>
      <c r="K9" s="269" t="s">
        <v>779</v>
      </c>
    </row>
    <row r="10" spans="1:11" ht="13" x14ac:dyDescent="0.3">
      <c r="A10" s="270" t="s">
        <v>781</v>
      </c>
      <c r="B10" s="269" t="s">
        <v>779</v>
      </c>
      <c r="C10" s="268">
        <v>7.26</v>
      </c>
      <c r="D10" s="268">
        <v>7.73</v>
      </c>
      <c r="E10" s="268">
        <v>5.29</v>
      </c>
      <c r="F10" s="268">
        <v>4.83</v>
      </c>
      <c r="G10" s="268">
        <v>4.78</v>
      </c>
      <c r="H10" s="268">
        <v>5.48</v>
      </c>
      <c r="I10" s="268">
        <v>5.3</v>
      </c>
      <c r="J10" s="268">
        <v>7.07</v>
      </c>
      <c r="K10" s="267">
        <v>6.3</v>
      </c>
    </row>
    <row r="11" spans="1:11" ht="13" x14ac:dyDescent="0.3">
      <c r="A11" s="270" t="s">
        <v>780</v>
      </c>
      <c r="B11" s="269" t="s">
        <v>779</v>
      </c>
      <c r="C11" s="272">
        <v>1.74</v>
      </c>
      <c r="D11" s="272">
        <v>2.0499999999999998</v>
      </c>
      <c r="E11" s="272">
        <v>1.75</v>
      </c>
      <c r="F11" s="272">
        <v>2.27</v>
      </c>
      <c r="G11" s="272">
        <v>1.63</v>
      </c>
      <c r="H11" s="272">
        <v>1.7</v>
      </c>
      <c r="I11" s="272">
        <v>1.6</v>
      </c>
      <c r="J11" s="272">
        <v>2.1</v>
      </c>
      <c r="K11" s="271">
        <v>1.98</v>
      </c>
    </row>
    <row r="12" spans="1:11" ht="13" x14ac:dyDescent="0.3">
      <c r="A12" s="270" t="s">
        <v>784</v>
      </c>
      <c r="B12" s="269" t="s">
        <v>779</v>
      </c>
      <c r="C12" s="268">
        <v>12.48</v>
      </c>
      <c r="D12" s="268">
        <v>9.5299999999999994</v>
      </c>
      <c r="E12" s="268">
        <v>24.37</v>
      </c>
      <c r="F12" s="268">
        <v>22.29</v>
      </c>
      <c r="G12" s="268">
        <v>16.75</v>
      </c>
      <c r="H12" s="268">
        <v>14.83</v>
      </c>
      <c r="I12" s="268">
        <v>11.02</v>
      </c>
      <c r="J12" s="268">
        <v>10.73</v>
      </c>
      <c r="K12" s="267">
        <v>11.76</v>
      </c>
    </row>
    <row r="13" spans="1:11" ht="13" x14ac:dyDescent="0.3">
      <c r="A13" s="270" t="s">
        <v>791</v>
      </c>
      <c r="B13" s="269" t="s">
        <v>779</v>
      </c>
      <c r="C13" s="272">
        <v>30.77</v>
      </c>
      <c r="D13" s="272">
        <v>12.08</v>
      </c>
      <c r="E13" s="272">
        <v>39.92</v>
      </c>
      <c r="F13" s="272">
        <v>40.11</v>
      </c>
      <c r="G13" s="272">
        <v>38.299999999999997</v>
      </c>
      <c r="H13" s="272">
        <v>24.41</v>
      </c>
      <c r="I13" s="272">
        <v>22.21</v>
      </c>
      <c r="J13" s="272">
        <v>4.96</v>
      </c>
      <c r="K13" s="271">
        <v>27.29</v>
      </c>
    </row>
    <row r="14" spans="1:11" ht="13" x14ac:dyDescent="0.3">
      <c r="A14" s="270" t="s">
        <v>806</v>
      </c>
      <c r="B14" s="269" t="s">
        <v>779</v>
      </c>
      <c r="C14" s="268">
        <v>40.29</v>
      </c>
      <c r="D14" s="268">
        <v>20.6</v>
      </c>
      <c r="E14" s="268">
        <v>40.19</v>
      </c>
      <c r="F14" s="268">
        <v>41.84</v>
      </c>
      <c r="G14" s="268">
        <v>41.15</v>
      </c>
      <c r="H14" s="268">
        <v>33.35</v>
      </c>
      <c r="I14" s="268">
        <v>20</v>
      </c>
      <c r="J14" s="268">
        <v>9.7200000000000006</v>
      </c>
      <c r="K14" s="267">
        <v>22.9</v>
      </c>
    </row>
    <row r="15" spans="1:11" ht="13" x14ac:dyDescent="0.3">
      <c r="A15" s="270" t="s">
        <v>788</v>
      </c>
      <c r="B15" s="269" t="s">
        <v>779</v>
      </c>
      <c r="C15" s="272">
        <v>43.31</v>
      </c>
      <c r="D15" s="272">
        <v>46.83</v>
      </c>
      <c r="E15" s="272">
        <v>46.1</v>
      </c>
      <c r="F15" s="272">
        <v>22.28</v>
      </c>
      <c r="G15" s="272">
        <v>20.61</v>
      </c>
      <c r="H15" s="272">
        <v>13.17</v>
      </c>
      <c r="I15" s="272">
        <v>22.46</v>
      </c>
      <c r="J15" s="272">
        <v>14.04</v>
      </c>
      <c r="K15" s="271">
        <v>16.239999999999998</v>
      </c>
    </row>
    <row r="16" spans="1:11" ht="13" x14ac:dyDescent="0.3">
      <c r="A16" s="270" t="s">
        <v>782</v>
      </c>
      <c r="B16" s="269" t="s">
        <v>779</v>
      </c>
      <c r="C16" s="268">
        <v>18.559999999999999</v>
      </c>
      <c r="D16" s="268">
        <v>15.24</v>
      </c>
      <c r="E16" s="268">
        <v>12.47</v>
      </c>
      <c r="F16" s="268">
        <v>7.29</v>
      </c>
      <c r="G16" s="268">
        <v>16.05</v>
      </c>
      <c r="H16" s="268">
        <v>9.6</v>
      </c>
      <c r="I16" s="268">
        <v>3.14</v>
      </c>
      <c r="J16" s="268">
        <v>4.5</v>
      </c>
      <c r="K16" s="267">
        <v>6.35</v>
      </c>
    </row>
    <row r="17" spans="1:24" ht="13" x14ac:dyDescent="0.3">
      <c r="A17" s="270" t="s">
        <v>805</v>
      </c>
      <c r="B17" s="269" t="s">
        <v>779</v>
      </c>
      <c r="C17" s="272">
        <v>2.93</v>
      </c>
      <c r="D17" s="272">
        <v>3.36</v>
      </c>
      <c r="E17" s="272">
        <v>3.31</v>
      </c>
      <c r="F17" s="272">
        <v>2.66</v>
      </c>
      <c r="G17" s="272">
        <v>2.4900000000000002</v>
      </c>
      <c r="H17" s="272">
        <v>2.1</v>
      </c>
      <c r="I17" s="272">
        <v>2.31</v>
      </c>
      <c r="J17" s="272">
        <v>2.2200000000000002</v>
      </c>
      <c r="K17" s="271">
        <v>2.17</v>
      </c>
    </row>
    <row r="18" spans="1:24" ht="13" x14ac:dyDescent="0.3">
      <c r="A18" s="270" t="s">
        <v>783</v>
      </c>
      <c r="B18" s="269" t="s">
        <v>779</v>
      </c>
      <c r="C18" s="268">
        <v>8.75</v>
      </c>
      <c r="D18" s="268">
        <v>14.31</v>
      </c>
      <c r="E18" s="268">
        <v>8.58</v>
      </c>
      <c r="F18" s="268">
        <v>11.26</v>
      </c>
      <c r="G18" s="268">
        <v>8.7100000000000009</v>
      </c>
      <c r="H18" s="268">
        <v>8.32</v>
      </c>
      <c r="I18" s="268">
        <v>6.99</v>
      </c>
      <c r="J18" s="268">
        <v>7.66</v>
      </c>
      <c r="K18" s="267">
        <v>9.2799999999999994</v>
      </c>
    </row>
    <row r="19" spans="1:24" ht="13" x14ac:dyDescent="0.3">
      <c r="A19" s="270" t="s">
        <v>786</v>
      </c>
      <c r="B19" s="269" t="s">
        <v>779</v>
      </c>
      <c r="C19" s="272">
        <v>46.71</v>
      </c>
      <c r="D19" s="272">
        <v>59.64</v>
      </c>
      <c r="E19" s="272">
        <v>44.5</v>
      </c>
      <c r="F19" s="272">
        <v>29.24</v>
      </c>
      <c r="G19" s="272">
        <v>24.52</v>
      </c>
      <c r="H19" s="272">
        <v>16.559999999999999</v>
      </c>
      <c r="I19" s="272">
        <v>14.62</v>
      </c>
      <c r="J19" s="272">
        <v>12.6</v>
      </c>
      <c r="K19" s="271">
        <v>12.77</v>
      </c>
    </row>
    <row r="20" spans="1:24" ht="13" x14ac:dyDescent="0.3">
      <c r="A20" s="270" t="s">
        <v>787</v>
      </c>
      <c r="B20" s="269" t="s">
        <v>779</v>
      </c>
      <c r="C20" s="268">
        <v>10.55</v>
      </c>
      <c r="D20" s="268">
        <v>15.11</v>
      </c>
      <c r="E20" s="268">
        <v>15.32</v>
      </c>
      <c r="F20" s="268">
        <v>13.04</v>
      </c>
      <c r="G20" s="268">
        <v>11.03</v>
      </c>
      <c r="H20" s="268">
        <v>12.68</v>
      </c>
      <c r="I20" s="268">
        <v>10.28</v>
      </c>
      <c r="J20" s="268">
        <v>12.8</v>
      </c>
      <c r="K20" s="267">
        <v>12.88</v>
      </c>
    </row>
    <row r="21" spans="1:24" ht="13" x14ac:dyDescent="0.3">
      <c r="A21" s="270" t="s">
        <v>789</v>
      </c>
      <c r="B21" s="269" t="s">
        <v>779</v>
      </c>
      <c r="C21" s="272">
        <v>31.43</v>
      </c>
      <c r="D21" s="272">
        <v>25.47</v>
      </c>
      <c r="E21" s="272">
        <v>49.09</v>
      </c>
      <c r="F21" s="272">
        <v>47.06</v>
      </c>
      <c r="G21" s="272">
        <v>34.840000000000003</v>
      </c>
      <c r="H21" s="272">
        <v>48.49</v>
      </c>
      <c r="I21" s="272">
        <v>63.51</v>
      </c>
      <c r="J21" s="272">
        <v>23.46</v>
      </c>
      <c r="K21" s="271">
        <v>22.54</v>
      </c>
    </row>
    <row r="22" spans="1:24" ht="13" x14ac:dyDescent="0.3">
      <c r="A22" s="270" t="s">
        <v>785</v>
      </c>
      <c r="B22" s="269" t="s">
        <v>779</v>
      </c>
      <c r="C22" s="268">
        <v>16.600000000000001</v>
      </c>
      <c r="D22" s="268">
        <v>15.9</v>
      </c>
      <c r="E22" s="268">
        <v>11.68</v>
      </c>
      <c r="F22" s="268">
        <v>13.4</v>
      </c>
      <c r="G22" s="268">
        <v>10.93</v>
      </c>
      <c r="H22" s="268">
        <v>11.93</v>
      </c>
      <c r="I22" s="268">
        <v>20.84</v>
      </c>
      <c r="J22" s="268">
        <v>13.21</v>
      </c>
      <c r="K22" s="267">
        <v>12.1</v>
      </c>
    </row>
    <row r="23" spans="1:24" x14ac:dyDescent="0.25">
      <c r="A23" s="266" t="s">
        <v>804</v>
      </c>
    </row>
    <row r="24" spans="1:24" x14ac:dyDescent="0.25">
      <c r="M24" s="279"/>
      <c r="N24" s="279"/>
      <c r="O24" s="279"/>
      <c r="P24" s="279"/>
      <c r="Q24" s="279"/>
      <c r="R24" s="279"/>
      <c r="S24" s="279"/>
      <c r="T24" s="279"/>
      <c r="U24" s="279"/>
      <c r="V24" s="279"/>
      <c r="W24" s="279"/>
      <c r="X24" s="279"/>
    </row>
    <row r="25" spans="1:24" x14ac:dyDescent="0.25">
      <c r="A25" s="264" t="s">
        <v>803</v>
      </c>
      <c r="M25" s="279"/>
      <c r="N25" s="279"/>
      <c r="O25" s="279"/>
      <c r="P25" s="279"/>
      <c r="Q25" s="279"/>
      <c r="R25" s="279"/>
      <c r="S25" s="279"/>
      <c r="T25" s="279"/>
      <c r="U25" s="279"/>
      <c r="V25" s="279"/>
      <c r="W25" s="279"/>
      <c r="X25" s="279"/>
    </row>
    <row r="26" spans="1:24" x14ac:dyDescent="0.25">
      <c r="A26" s="264" t="s">
        <v>802</v>
      </c>
      <c r="C26" s="264" t="s">
        <v>801</v>
      </c>
      <c r="M26" s="279"/>
      <c r="N26" s="279"/>
      <c r="O26" s="279"/>
      <c r="P26" s="279"/>
      <c r="Q26" s="279"/>
      <c r="R26" s="279"/>
      <c r="S26" s="279"/>
      <c r="T26" s="279"/>
      <c r="U26" s="279"/>
      <c r="V26" s="279"/>
      <c r="W26" s="279"/>
      <c r="X26" s="279"/>
    </row>
    <row r="27" spans="1:24" x14ac:dyDescent="0.25">
      <c r="A27" s="264" t="s">
        <v>800</v>
      </c>
      <c r="C27" s="264" t="s">
        <v>799</v>
      </c>
      <c r="M27" s="279"/>
      <c r="N27" s="279"/>
      <c r="O27" s="279"/>
      <c r="P27" s="279"/>
      <c r="Q27" s="279"/>
      <c r="R27" s="279"/>
      <c r="S27" s="279"/>
      <c r="T27" s="279"/>
      <c r="U27" s="279"/>
      <c r="V27" s="279"/>
      <c r="W27" s="279"/>
      <c r="X27" s="279"/>
    </row>
    <row r="28" spans="1:24" x14ac:dyDescent="0.25">
      <c r="A28" s="264" t="s">
        <v>798</v>
      </c>
      <c r="C28" s="264" t="s">
        <v>797</v>
      </c>
      <c r="M28" s="279"/>
      <c r="N28" s="279"/>
      <c r="O28" s="279"/>
      <c r="P28" s="279"/>
      <c r="Q28" s="279"/>
      <c r="R28" s="279"/>
      <c r="S28" s="279"/>
      <c r="T28" s="279"/>
      <c r="U28" s="279"/>
      <c r="V28" s="279"/>
      <c r="W28" s="279"/>
      <c r="X28" s="279"/>
    </row>
    <row r="29" spans="1:24" x14ac:dyDescent="0.25">
      <c r="A29" s="264" t="s">
        <v>796</v>
      </c>
      <c r="C29" s="264" t="s">
        <v>795</v>
      </c>
      <c r="M29" s="279"/>
      <c r="N29" s="279"/>
      <c r="O29" s="279"/>
      <c r="P29" s="279"/>
      <c r="Q29" s="279"/>
      <c r="R29" s="279"/>
      <c r="S29" s="279"/>
      <c r="T29" s="279"/>
      <c r="U29" s="279"/>
      <c r="V29" s="279"/>
      <c r="W29" s="279"/>
      <c r="X29" s="279"/>
    </row>
    <row r="30" spans="1:24" x14ac:dyDescent="0.25">
      <c r="A30" s="264" t="s">
        <v>794</v>
      </c>
      <c r="C30" s="264" t="s">
        <v>600</v>
      </c>
      <c r="M30" s="279"/>
      <c r="N30" s="279"/>
      <c r="O30" s="279"/>
      <c r="P30" s="279"/>
      <c r="Q30" s="279"/>
      <c r="R30" s="279"/>
      <c r="S30" s="279"/>
      <c r="T30" s="279"/>
      <c r="U30" s="279"/>
      <c r="V30" s="279"/>
      <c r="W30" s="279"/>
      <c r="X30" s="279"/>
    </row>
    <row r="31" spans="1:24" ht="50" x14ac:dyDescent="0.25">
      <c r="A31" s="280" t="s">
        <v>739</v>
      </c>
      <c r="B31" s="280"/>
      <c r="C31" s="280" t="s">
        <v>379</v>
      </c>
      <c r="D31" s="280" t="s">
        <v>380</v>
      </c>
      <c r="E31" s="280" t="s">
        <v>381</v>
      </c>
      <c r="F31" s="280" t="s">
        <v>382</v>
      </c>
      <c r="G31" s="280" t="s">
        <v>383</v>
      </c>
      <c r="H31" s="280" t="s">
        <v>384</v>
      </c>
      <c r="I31" s="280" t="s">
        <v>385</v>
      </c>
      <c r="J31" s="280" t="s">
        <v>386</v>
      </c>
      <c r="K31" s="280" t="s">
        <v>387</v>
      </c>
      <c r="L31" s="281" t="s">
        <v>812</v>
      </c>
      <c r="M31" s="279"/>
      <c r="N31" s="279"/>
      <c r="O31" s="279"/>
      <c r="P31" s="279"/>
      <c r="Q31" s="279"/>
      <c r="R31" s="279"/>
      <c r="S31" s="279"/>
      <c r="T31" s="279"/>
      <c r="U31" s="279"/>
      <c r="V31" s="279"/>
      <c r="W31" s="279"/>
      <c r="X31" s="279"/>
    </row>
    <row r="32" spans="1:24" x14ac:dyDescent="0.25">
      <c r="A32" s="264" t="s">
        <v>793</v>
      </c>
      <c r="B32" s="264" t="s">
        <v>792</v>
      </c>
      <c r="C32" s="264" t="s">
        <v>779</v>
      </c>
      <c r="D32" s="264" t="s">
        <v>779</v>
      </c>
      <c r="E32" s="264" t="s">
        <v>779</v>
      </c>
      <c r="F32" s="264" t="s">
        <v>779</v>
      </c>
      <c r="G32" s="264" t="s">
        <v>779</v>
      </c>
      <c r="H32" s="264" t="s">
        <v>779</v>
      </c>
      <c r="I32" s="264" t="s">
        <v>779</v>
      </c>
      <c r="J32" s="264" t="s">
        <v>779</v>
      </c>
      <c r="K32" s="264" t="s">
        <v>779</v>
      </c>
      <c r="M32" s="279"/>
      <c r="N32" s="279"/>
      <c r="O32" s="279"/>
      <c r="P32" s="279"/>
      <c r="Q32" s="279"/>
      <c r="R32" s="279"/>
      <c r="S32" s="279"/>
      <c r="T32" s="279"/>
      <c r="U32" s="279"/>
      <c r="V32" s="279"/>
      <c r="W32" s="279"/>
      <c r="X32" s="279"/>
    </row>
    <row r="33" spans="1:24" x14ac:dyDescent="0.25">
      <c r="A33" s="264" t="s">
        <v>791</v>
      </c>
      <c r="B33" s="264" t="s">
        <v>779</v>
      </c>
      <c r="C33" s="264">
        <v>30.77</v>
      </c>
      <c r="D33" s="264">
        <v>12.08</v>
      </c>
      <c r="E33" s="264">
        <v>39.92</v>
      </c>
      <c r="F33" s="264">
        <v>40.11</v>
      </c>
      <c r="G33" s="264">
        <v>38.299999999999997</v>
      </c>
      <c r="H33" s="264">
        <v>24.41</v>
      </c>
      <c r="I33" s="264">
        <v>22.21</v>
      </c>
      <c r="J33" s="264">
        <v>4.96</v>
      </c>
      <c r="K33" s="265">
        <v>27.29</v>
      </c>
      <c r="L33" s="264">
        <v>1</v>
      </c>
      <c r="M33" s="279"/>
      <c r="N33" s="279"/>
      <c r="O33" s="279"/>
      <c r="P33" s="279"/>
      <c r="Q33" s="279"/>
      <c r="R33" s="279"/>
      <c r="S33" s="279"/>
      <c r="T33" s="279"/>
      <c r="U33" s="279"/>
      <c r="V33" s="279"/>
      <c r="W33" s="279"/>
      <c r="X33" s="279"/>
    </row>
    <row r="34" spans="1:24" x14ac:dyDescent="0.25">
      <c r="A34" s="264" t="s">
        <v>790</v>
      </c>
      <c r="B34" s="264" t="s">
        <v>779</v>
      </c>
      <c r="C34" s="264">
        <v>40.29</v>
      </c>
      <c r="D34" s="264">
        <v>20.6</v>
      </c>
      <c r="E34" s="264">
        <v>40.19</v>
      </c>
      <c r="F34" s="264">
        <v>41.84</v>
      </c>
      <c r="G34" s="264">
        <v>41.15</v>
      </c>
      <c r="H34" s="264">
        <v>33.35</v>
      </c>
      <c r="I34" s="264">
        <v>20</v>
      </c>
      <c r="J34" s="264">
        <v>9.7200000000000006</v>
      </c>
      <c r="K34" s="265">
        <v>22.9</v>
      </c>
      <c r="L34" s="264">
        <v>2</v>
      </c>
      <c r="M34" s="279"/>
      <c r="N34" s="279"/>
      <c r="O34" s="279"/>
      <c r="P34" s="279"/>
      <c r="Q34" s="279"/>
      <c r="R34" s="279"/>
      <c r="S34" s="279"/>
      <c r="T34" s="279"/>
      <c r="U34" s="279"/>
      <c r="V34" s="279"/>
      <c r="W34" s="279"/>
      <c r="X34" s="279"/>
    </row>
    <row r="35" spans="1:24" x14ac:dyDescent="0.25">
      <c r="A35" s="264" t="s">
        <v>789</v>
      </c>
      <c r="B35" s="264" t="s">
        <v>779</v>
      </c>
      <c r="C35" s="264">
        <v>31.43</v>
      </c>
      <c r="D35" s="264">
        <v>25.47</v>
      </c>
      <c r="E35" s="264">
        <v>49.09</v>
      </c>
      <c r="F35" s="264">
        <v>47.06</v>
      </c>
      <c r="G35" s="264">
        <v>34.840000000000003</v>
      </c>
      <c r="H35" s="264">
        <v>48.49</v>
      </c>
      <c r="I35" s="264">
        <v>63.51</v>
      </c>
      <c r="J35" s="264">
        <v>23.46</v>
      </c>
      <c r="K35" s="265">
        <v>22.54</v>
      </c>
      <c r="L35" s="264">
        <v>3</v>
      </c>
      <c r="M35" s="279"/>
      <c r="N35" s="279"/>
      <c r="O35" s="279"/>
      <c r="P35" s="279"/>
      <c r="Q35" s="279"/>
      <c r="R35" s="279"/>
      <c r="S35" s="279"/>
      <c r="T35" s="279"/>
      <c r="U35" s="279"/>
      <c r="V35" s="279"/>
      <c r="W35" s="279"/>
      <c r="X35" s="279"/>
    </row>
    <row r="36" spans="1:24" x14ac:dyDescent="0.25">
      <c r="A36" s="264" t="s">
        <v>788</v>
      </c>
      <c r="B36" s="264" t="s">
        <v>779</v>
      </c>
      <c r="C36" s="264">
        <v>43.31</v>
      </c>
      <c r="D36" s="264">
        <v>46.83</v>
      </c>
      <c r="E36" s="264">
        <v>46.1</v>
      </c>
      <c r="F36" s="264">
        <v>22.28</v>
      </c>
      <c r="G36" s="264">
        <v>20.61</v>
      </c>
      <c r="H36" s="264">
        <v>13.17</v>
      </c>
      <c r="I36" s="264">
        <v>22.46</v>
      </c>
      <c r="J36" s="264">
        <v>14.04</v>
      </c>
      <c r="K36" s="265">
        <v>16.239999999999998</v>
      </c>
      <c r="L36" s="264">
        <v>6</v>
      </c>
      <c r="M36" s="279"/>
      <c r="N36" s="279"/>
      <c r="O36" s="279"/>
      <c r="P36" s="279"/>
      <c r="Q36" s="279"/>
      <c r="R36" s="279"/>
      <c r="S36" s="279"/>
      <c r="T36" s="279"/>
      <c r="U36" s="279"/>
      <c r="V36" s="279"/>
      <c r="W36" s="279"/>
      <c r="X36" s="279"/>
    </row>
    <row r="37" spans="1:24" x14ac:dyDescent="0.25">
      <c r="A37" s="264" t="s">
        <v>787</v>
      </c>
      <c r="B37" s="264" t="s">
        <v>779</v>
      </c>
      <c r="C37" s="264">
        <v>10.55</v>
      </c>
      <c r="D37" s="264">
        <v>15.11</v>
      </c>
      <c r="E37" s="264">
        <v>15.32</v>
      </c>
      <c r="F37" s="264">
        <v>13.04</v>
      </c>
      <c r="G37" s="264">
        <v>11.03</v>
      </c>
      <c r="H37" s="264">
        <v>12.68</v>
      </c>
      <c r="I37" s="264">
        <v>10.28</v>
      </c>
      <c r="J37" s="264">
        <v>12.8</v>
      </c>
      <c r="K37" s="265">
        <v>12.88</v>
      </c>
      <c r="L37" s="264">
        <v>8</v>
      </c>
      <c r="M37" s="279"/>
      <c r="N37" s="279"/>
      <c r="O37" s="279"/>
      <c r="P37" s="279"/>
      <c r="Q37" s="279"/>
      <c r="R37" s="279"/>
      <c r="S37" s="279"/>
      <c r="T37" s="279"/>
      <c r="U37" s="279"/>
      <c r="V37" s="279"/>
      <c r="W37" s="279"/>
      <c r="X37" s="279"/>
    </row>
    <row r="38" spans="1:24" x14ac:dyDescent="0.25">
      <c r="A38" s="264" t="s">
        <v>786</v>
      </c>
      <c r="B38" s="264" t="s">
        <v>779</v>
      </c>
      <c r="C38" s="264">
        <v>46.71</v>
      </c>
      <c r="D38" s="264">
        <v>59.64</v>
      </c>
      <c r="E38" s="264">
        <v>44.5</v>
      </c>
      <c r="F38" s="264">
        <v>29.24</v>
      </c>
      <c r="G38" s="264">
        <v>24.52</v>
      </c>
      <c r="H38" s="264">
        <v>16.559999999999999</v>
      </c>
      <c r="I38" s="264">
        <v>14.62</v>
      </c>
      <c r="J38" s="264">
        <v>12.6</v>
      </c>
      <c r="K38" s="265">
        <v>12.77</v>
      </c>
      <c r="L38" s="264">
        <v>10</v>
      </c>
      <c r="M38" s="279"/>
      <c r="N38" s="279"/>
      <c r="O38" s="279"/>
      <c r="P38" s="279"/>
      <c r="Q38" s="279"/>
      <c r="R38" s="279"/>
      <c r="S38" s="279"/>
      <c r="T38" s="279"/>
      <c r="U38" s="279"/>
      <c r="V38" s="279"/>
      <c r="W38" s="279"/>
      <c r="X38" s="279"/>
    </row>
    <row r="39" spans="1:24" x14ac:dyDescent="0.25">
      <c r="A39" s="264" t="s">
        <v>785</v>
      </c>
      <c r="B39" s="264" t="s">
        <v>779</v>
      </c>
      <c r="C39" s="264">
        <v>16.600000000000001</v>
      </c>
      <c r="D39" s="264">
        <v>15.9</v>
      </c>
      <c r="E39" s="264">
        <v>11.68</v>
      </c>
      <c r="F39" s="264">
        <v>13.4</v>
      </c>
      <c r="G39" s="264">
        <v>10.93</v>
      </c>
      <c r="H39" s="264">
        <v>11.93</v>
      </c>
      <c r="I39" s="264">
        <v>20.84</v>
      </c>
      <c r="J39" s="264">
        <v>13.21</v>
      </c>
      <c r="K39" s="265">
        <v>12.1</v>
      </c>
      <c r="L39" s="264">
        <v>12</v>
      </c>
      <c r="M39" s="279"/>
      <c r="N39" s="279"/>
      <c r="O39" s="279"/>
      <c r="P39" s="279"/>
      <c r="Q39" s="279"/>
      <c r="R39" s="279"/>
      <c r="S39" s="279"/>
      <c r="T39" s="279"/>
      <c r="U39" s="279"/>
      <c r="V39" s="279"/>
      <c r="W39" s="279"/>
      <c r="X39" s="279"/>
    </row>
    <row r="40" spans="1:24" x14ac:dyDescent="0.25">
      <c r="A40" s="264" t="s">
        <v>784</v>
      </c>
      <c r="B40" s="264" t="s">
        <v>779</v>
      </c>
      <c r="C40" s="264">
        <v>12.48</v>
      </c>
      <c r="D40" s="264">
        <v>9.5299999999999994</v>
      </c>
      <c r="E40" s="264">
        <v>24.37</v>
      </c>
      <c r="F40" s="264">
        <v>22.29</v>
      </c>
      <c r="G40" s="264">
        <v>16.75</v>
      </c>
      <c r="H40" s="264">
        <v>14.83</v>
      </c>
      <c r="I40" s="264">
        <v>11.02</v>
      </c>
      <c r="J40" s="264">
        <v>10.73</v>
      </c>
      <c r="K40" s="265">
        <v>11.76</v>
      </c>
      <c r="L40" s="264">
        <v>13</v>
      </c>
      <c r="M40" s="279"/>
      <c r="N40" s="279"/>
      <c r="O40" s="279"/>
      <c r="P40" s="279"/>
      <c r="Q40" s="279"/>
      <c r="R40" s="279"/>
      <c r="S40" s="279"/>
      <c r="T40" s="279"/>
      <c r="U40" s="279"/>
      <c r="V40" s="279"/>
      <c r="W40" s="279"/>
      <c r="X40" s="279"/>
    </row>
    <row r="41" spans="1:24" x14ac:dyDescent="0.25">
      <c r="A41" s="264" t="s">
        <v>783</v>
      </c>
      <c r="B41" s="264" t="s">
        <v>779</v>
      </c>
      <c r="C41" s="264">
        <v>8.75</v>
      </c>
      <c r="D41" s="264">
        <v>14.31</v>
      </c>
      <c r="E41" s="264">
        <v>8.58</v>
      </c>
      <c r="F41" s="264">
        <v>11.26</v>
      </c>
      <c r="G41" s="264">
        <v>8.7100000000000009</v>
      </c>
      <c r="H41" s="264">
        <v>8.32</v>
      </c>
      <c r="I41" s="264">
        <v>6.99</v>
      </c>
      <c r="J41" s="264">
        <v>7.66</v>
      </c>
      <c r="K41" s="265">
        <v>9.2799999999999994</v>
      </c>
      <c r="L41" s="264">
        <v>15</v>
      </c>
      <c r="M41" s="279"/>
      <c r="N41" s="279"/>
      <c r="O41" s="279"/>
      <c r="P41" s="279"/>
      <c r="Q41" s="279"/>
      <c r="R41" s="279"/>
      <c r="S41" s="279"/>
      <c r="T41" s="279"/>
      <c r="U41" s="279"/>
      <c r="V41" s="279"/>
      <c r="W41" s="279"/>
      <c r="X41" s="279"/>
    </row>
    <row r="42" spans="1:24" x14ac:dyDescent="0.25">
      <c r="A42" s="264" t="s">
        <v>782</v>
      </c>
      <c r="B42" s="264" t="s">
        <v>779</v>
      </c>
      <c r="C42" s="264">
        <v>18.559999999999999</v>
      </c>
      <c r="D42" s="264">
        <v>15.24</v>
      </c>
      <c r="E42" s="264">
        <v>12.47</v>
      </c>
      <c r="F42" s="264">
        <v>7.29</v>
      </c>
      <c r="G42" s="264">
        <v>16.05</v>
      </c>
      <c r="H42" s="264">
        <v>9.6</v>
      </c>
      <c r="I42" s="264">
        <v>3.14</v>
      </c>
      <c r="J42" s="264">
        <v>4.5</v>
      </c>
      <c r="K42" s="265">
        <v>6.35</v>
      </c>
      <c r="L42" s="264">
        <v>19</v>
      </c>
      <c r="M42" s="279"/>
      <c r="N42" s="279"/>
      <c r="O42" s="279"/>
      <c r="P42" s="279"/>
      <c r="Q42" s="279"/>
      <c r="R42" s="279"/>
      <c r="S42" s="279"/>
      <c r="T42" s="279"/>
      <c r="U42" s="279"/>
      <c r="V42" s="279"/>
      <c r="W42" s="279"/>
      <c r="X42" s="279"/>
    </row>
    <row r="43" spans="1:24" x14ac:dyDescent="0.25">
      <c r="A43" s="264" t="s">
        <v>781</v>
      </c>
      <c r="B43" s="264" t="s">
        <v>779</v>
      </c>
      <c r="C43" s="264">
        <v>7.26</v>
      </c>
      <c r="D43" s="264">
        <v>7.73</v>
      </c>
      <c r="E43" s="264">
        <v>5.29</v>
      </c>
      <c r="F43" s="264">
        <v>4.83</v>
      </c>
      <c r="G43" s="264">
        <v>4.78</v>
      </c>
      <c r="H43" s="264">
        <v>5.48</v>
      </c>
      <c r="I43" s="264">
        <v>5.3</v>
      </c>
      <c r="J43" s="264">
        <v>7.07</v>
      </c>
      <c r="K43" s="265">
        <v>6.3</v>
      </c>
      <c r="L43" s="264">
        <v>20</v>
      </c>
      <c r="M43" s="279"/>
      <c r="N43" s="279"/>
      <c r="O43" s="279"/>
      <c r="P43" s="279"/>
      <c r="Q43" s="279"/>
      <c r="R43" s="279"/>
      <c r="S43" s="279"/>
      <c r="T43" s="279"/>
      <c r="U43" s="279"/>
      <c r="V43" s="279"/>
      <c r="W43" s="279"/>
      <c r="X43" s="279"/>
    </row>
    <row r="44" spans="1:24" x14ac:dyDescent="0.25">
      <c r="A44" s="264" t="s">
        <v>808</v>
      </c>
      <c r="B44" s="264" t="s">
        <v>779</v>
      </c>
      <c r="C44" s="264">
        <v>2.93</v>
      </c>
      <c r="D44" s="264">
        <v>3.36</v>
      </c>
      <c r="E44" s="264">
        <v>3.31</v>
      </c>
      <c r="F44" s="264">
        <v>2.66</v>
      </c>
      <c r="G44" s="264">
        <v>2.4900000000000002</v>
      </c>
      <c r="H44" s="264">
        <v>2.1</v>
      </c>
      <c r="I44" s="264">
        <v>2.31</v>
      </c>
      <c r="J44" s="264">
        <v>2.2200000000000002</v>
      </c>
      <c r="K44" s="265">
        <v>2.17</v>
      </c>
      <c r="L44" s="264">
        <v>47</v>
      </c>
      <c r="M44" s="279"/>
      <c r="N44" s="279"/>
      <c r="O44" s="279"/>
      <c r="P44" s="279"/>
      <c r="Q44" s="279"/>
      <c r="R44" s="279"/>
      <c r="S44" s="279"/>
      <c r="T44" s="279"/>
      <c r="U44" s="279"/>
      <c r="V44" s="279"/>
      <c r="W44" s="279"/>
      <c r="X44" s="279"/>
    </row>
    <row r="45" spans="1:24" x14ac:dyDescent="0.25">
      <c r="A45" s="264" t="s">
        <v>780</v>
      </c>
      <c r="B45" s="264" t="s">
        <v>779</v>
      </c>
      <c r="C45" s="264">
        <v>1.74</v>
      </c>
      <c r="D45" s="264">
        <v>2.0499999999999998</v>
      </c>
      <c r="E45" s="264">
        <v>1.75</v>
      </c>
      <c r="F45" s="264">
        <v>2.27</v>
      </c>
      <c r="G45" s="264">
        <v>1.63</v>
      </c>
      <c r="H45" s="264">
        <v>1.7</v>
      </c>
      <c r="I45" s="264">
        <v>1.6</v>
      </c>
      <c r="J45" s="264">
        <v>2.1</v>
      </c>
      <c r="K45" s="265">
        <v>1.98</v>
      </c>
      <c r="L45" s="264">
        <v>51</v>
      </c>
      <c r="M45" s="279"/>
      <c r="N45" s="279"/>
      <c r="O45" s="279"/>
      <c r="P45" s="279"/>
      <c r="Q45" s="279"/>
      <c r="R45" s="279"/>
      <c r="S45" s="279"/>
      <c r="T45" s="279"/>
      <c r="U45" s="279"/>
      <c r="V45" s="279"/>
      <c r="W45" s="279"/>
      <c r="X45" s="279"/>
    </row>
    <row r="46" spans="1:24" x14ac:dyDescent="0.25">
      <c r="M46" s="279"/>
      <c r="N46" s="279"/>
      <c r="O46" s="279"/>
      <c r="P46" s="279"/>
      <c r="Q46" s="279"/>
      <c r="R46" s="279"/>
      <c r="S46" s="279"/>
      <c r="T46" s="279"/>
      <c r="U46" s="279"/>
      <c r="V46" s="279"/>
      <c r="W46" s="279"/>
      <c r="X46" s="279"/>
    </row>
    <row r="47" spans="1:24" x14ac:dyDescent="0.25">
      <c r="M47" s="279"/>
      <c r="N47" s="279"/>
      <c r="O47" s="279"/>
      <c r="P47" s="279"/>
      <c r="Q47" s="279"/>
      <c r="R47" s="279"/>
      <c r="S47" s="279"/>
      <c r="T47" s="279"/>
      <c r="U47" s="279"/>
      <c r="V47" s="279"/>
      <c r="W47" s="279"/>
      <c r="X47" s="279"/>
    </row>
    <row r="48" spans="1:24" x14ac:dyDescent="0.25">
      <c r="M48" s="279"/>
      <c r="N48" s="279"/>
      <c r="O48" s="279"/>
      <c r="P48" s="279"/>
      <c r="Q48" s="279"/>
      <c r="R48" s="279"/>
      <c r="S48" s="279"/>
      <c r="T48" s="279"/>
      <c r="U48" s="279"/>
      <c r="V48" s="279"/>
      <c r="W48" s="279"/>
      <c r="X48" s="279"/>
    </row>
    <row r="49" spans="13:24" x14ac:dyDescent="0.25">
      <c r="M49" s="279"/>
      <c r="N49" s="279"/>
      <c r="O49" s="279"/>
      <c r="P49" s="279"/>
      <c r="Q49" s="279"/>
      <c r="R49" s="279"/>
      <c r="S49" s="279"/>
      <c r="T49" s="279"/>
      <c r="U49" s="279"/>
      <c r="V49" s="279"/>
      <c r="W49" s="279"/>
      <c r="X49" s="279"/>
    </row>
  </sheetData>
  <mergeCells count="11">
    <mergeCell ref="A3:B3"/>
    <mergeCell ref="C3:K3"/>
    <mergeCell ref="A4:B4"/>
    <mergeCell ref="C4:K4"/>
    <mergeCell ref="A5:B5"/>
    <mergeCell ref="C5:K5"/>
    <mergeCell ref="A6:B6"/>
    <mergeCell ref="C6:K6"/>
    <mergeCell ref="A7:B7"/>
    <mergeCell ref="C7:K7"/>
    <mergeCell ref="A8:B8"/>
  </mergeCells>
  <hyperlinks>
    <hyperlink ref="A2" r:id="rId1" display="http://stats.oecd.org/OECDStat_Metadata/ShowMetadata.ashx?Dataset=TABLE2A&amp;ShowOnWeb=true&amp;Lang=en" xr:uid="{00000000-0004-0000-1800-000000000000}"/>
    <hyperlink ref="B9" r:id="rId2" display="http://stats.oecd.org/OECDStat_Metadata/ShowMetadata.ashx?Dataset=TABLE2A&amp;Coords=[DONOR].[20001],[AIDTYPE].[286],[PART].[1],[DATATYPE].[A]&amp;ShowOnWeb=true&amp;Lang=en" xr:uid="{00000000-0004-0000-1800-000001000000}"/>
    <hyperlink ref="A23" r:id="rId3" display="https://stats-2.oecd.org/index.aspx?DatasetCode=TABLE2A" xr:uid="{00000000-0004-0000-1800-000002000000}"/>
  </hyperlinks>
  <pageMargins left="0.7" right="0.7" top="0.75" bottom="0.75" header="0.3" footer="0.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
  <dimension ref="A1:B20"/>
  <sheetViews>
    <sheetView zoomScale="90" zoomScaleNormal="90" workbookViewId="0">
      <selection activeCell="B31" sqref="B31"/>
    </sheetView>
  </sheetViews>
  <sheetFormatPr defaultRowHeight="14.5" x14ac:dyDescent="0.35"/>
  <cols>
    <col min="1" max="1" width="70.1796875" customWidth="1"/>
    <col min="2" max="2" width="66.26953125" customWidth="1"/>
  </cols>
  <sheetData>
    <row r="1" spans="1:2" x14ac:dyDescent="0.35">
      <c r="A1" s="9" t="s">
        <v>3</v>
      </c>
      <c r="B1" s="9" t="s">
        <v>2</v>
      </c>
    </row>
    <row r="2" spans="1:2" ht="84" customHeight="1" x14ac:dyDescent="0.35">
      <c r="A2" s="13" t="s">
        <v>0</v>
      </c>
      <c r="B2" s="13" t="s">
        <v>1</v>
      </c>
    </row>
    <row r="3" spans="1:2" ht="35.5" customHeight="1" x14ac:dyDescent="0.35">
      <c r="A3" s="15" t="s">
        <v>4</v>
      </c>
      <c r="B3" s="12" t="s">
        <v>8</v>
      </c>
    </row>
    <row r="4" spans="1:2" ht="36" customHeight="1" x14ac:dyDescent="0.35">
      <c r="A4" s="15" t="s">
        <v>5</v>
      </c>
      <c r="B4" s="12" t="s">
        <v>10</v>
      </c>
    </row>
    <row r="5" spans="1:2" ht="39.65" customHeight="1" x14ac:dyDescent="0.35">
      <c r="A5" s="15" t="s">
        <v>6</v>
      </c>
      <c r="B5" s="12" t="s">
        <v>9</v>
      </c>
    </row>
    <row r="6" spans="1:2" ht="38.5" customHeight="1" x14ac:dyDescent="0.35">
      <c r="A6" s="13" t="s">
        <v>119</v>
      </c>
      <c r="B6" s="12" t="s">
        <v>118</v>
      </c>
    </row>
    <row r="7" spans="1:2" ht="36" customHeight="1" x14ac:dyDescent="0.35">
      <c r="A7" s="13" t="s">
        <v>121</v>
      </c>
      <c r="B7" s="13" t="s">
        <v>120</v>
      </c>
    </row>
    <row r="8" spans="1:2" ht="34.5" customHeight="1" x14ac:dyDescent="0.35">
      <c r="A8" s="13" t="s">
        <v>123</v>
      </c>
      <c r="B8" s="13" t="s">
        <v>122</v>
      </c>
    </row>
    <row r="9" spans="1:2" ht="35.5" customHeight="1" x14ac:dyDescent="0.35">
      <c r="A9" s="13" t="s">
        <v>178</v>
      </c>
      <c r="B9" s="83" t="s">
        <v>174</v>
      </c>
    </row>
    <row r="10" spans="1:2" ht="35.15" customHeight="1" x14ac:dyDescent="0.35">
      <c r="A10" s="13" t="s">
        <v>203</v>
      </c>
      <c r="B10" s="15" t="s">
        <v>202</v>
      </c>
    </row>
    <row r="11" spans="1:2" x14ac:dyDescent="0.35">
      <c r="A11" s="10"/>
      <c r="B11" s="10"/>
    </row>
    <row r="12" spans="1:2" x14ac:dyDescent="0.35">
      <c r="A12" s="10"/>
      <c r="B12" s="10"/>
    </row>
    <row r="13" spans="1:2" x14ac:dyDescent="0.35">
      <c r="A13" s="10"/>
      <c r="B13" s="10"/>
    </row>
    <row r="14" spans="1:2" x14ac:dyDescent="0.35">
      <c r="A14" s="10"/>
      <c r="B14" s="10"/>
    </row>
    <row r="15" spans="1:2" x14ac:dyDescent="0.35">
      <c r="A15" s="10"/>
      <c r="B15" s="10"/>
    </row>
    <row r="16" spans="1:2" x14ac:dyDescent="0.35">
      <c r="A16" s="10"/>
      <c r="B16" s="10"/>
    </row>
    <row r="17" spans="1:2" x14ac:dyDescent="0.35">
      <c r="A17" s="10"/>
      <c r="B17" s="10"/>
    </row>
    <row r="18" spans="1:2" x14ac:dyDescent="0.35">
      <c r="A18" s="10"/>
      <c r="B18" s="10"/>
    </row>
    <row r="19" spans="1:2" x14ac:dyDescent="0.35">
      <c r="A19" s="10"/>
      <c r="B19" s="10"/>
    </row>
    <row r="20" spans="1:2" x14ac:dyDescent="0.35">
      <c r="A20" s="10"/>
      <c r="B20" s="10"/>
    </row>
  </sheetData>
  <hyperlinks>
    <hyperlink ref="B9" r:id="rId1" xr:uid="{00000000-0004-0000-19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59999389629810485"/>
  </sheetPr>
  <dimension ref="A1:I73"/>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F2" sqref="F2"/>
    </sheetView>
  </sheetViews>
  <sheetFormatPr defaultRowHeight="14.5" x14ac:dyDescent="0.35"/>
  <cols>
    <col min="1" max="1" width="56.7265625" style="106" customWidth="1"/>
    <col min="2" max="2" width="29.1796875" style="15" customWidth="1"/>
    <col min="3" max="3" width="32.453125" style="19" customWidth="1"/>
    <col min="4" max="4" width="33" style="15" bestFit="1" customWidth="1"/>
    <col min="5" max="5" width="25.1796875" style="15" customWidth="1"/>
    <col min="6" max="6" width="19.1796875" style="10" customWidth="1"/>
    <col min="7" max="7" width="32.26953125" style="10" bestFit="1" customWidth="1"/>
    <col min="8" max="8" width="21.81640625" style="15" bestFit="1" customWidth="1"/>
    <col min="9" max="9" width="16.1796875" bestFit="1" customWidth="1"/>
  </cols>
  <sheetData>
    <row r="1" spans="1:9" s="103" customFormat="1" ht="18.5" x14ac:dyDescent="0.45">
      <c r="A1" s="99" t="s">
        <v>14</v>
      </c>
      <c r="B1" s="102" t="s">
        <v>264</v>
      </c>
      <c r="C1" s="102" t="s">
        <v>263</v>
      </c>
      <c r="D1" s="102" t="s">
        <v>269</v>
      </c>
      <c r="E1" s="102" t="s">
        <v>55</v>
      </c>
      <c r="F1" s="102" t="s">
        <v>328</v>
      </c>
      <c r="G1" s="102" t="s">
        <v>266</v>
      </c>
      <c r="H1" s="102" t="s">
        <v>265</v>
      </c>
    </row>
    <row r="2" spans="1:9" ht="17.149999999999999" customHeight="1" x14ac:dyDescent="0.35">
      <c r="A2" s="109" t="s">
        <v>17</v>
      </c>
      <c r="B2" s="112"/>
      <c r="C2" s="111"/>
      <c r="D2" s="112"/>
      <c r="E2" s="112"/>
      <c r="F2" s="113"/>
      <c r="G2" s="113"/>
      <c r="H2" s="112"/>
    </row>
    <row r="3" spans="1:9" x14ac:dyDescent="0.35">
      <c r="A3" s="104" t="s">
        <v>215</v>
      </c>
      <c r="B3" s="14">
        <v>900000</v>
      </c>
      <c r="C3" s="7">
        <v>8800000</v>
      </c>
      <c r="D3" s="18">
        <v>200000</v>
      </c>
      <c r="E3" s="18">
        <v>600000</v>
      </c>
      <c r="F3" s="17">
        <v>1400000</v>
      </c>
      <c r="G3" s="11">
        <v>103197</v>
      </c>
      <c r="H3" s="14">
        <v>290000</v>
      </c>
      <c r="I3" s="31"/>
    </row>
    <row r="4" spans="1:9" x14ac:dyDescent="0.35">
      <c r="A4" s="104" t="s">
        <v>214</v>
      </c>
      <c r="B4" s="38">
        <v>5500</v>
      </c>
      <c r="C4" s="34">
        <v>25000</v>
      </c>
      <c r="D4" s="38">
        <v>820</v>
      </c>
      <c r="E4" s="38">
        <v>1500</v>
      </c>
      <c r="F4" s="42">
        <v>1700</v>
      </c>
      <c r="G4" s="42">
        <v>430</v>
      </c>
      <c r="H4" s="38">
        <v>930</v>
      </c>
      <c r="I4" s="31"/>
    </row>
    <row r="5" spans="1:9" x14ac:dyDescent="0.35">
      <c r="A5" s="104" t="s">
        <v>216</v>
      </c>
      <c r="B5" s="34">
        <v>6023</v>
      </c>
      <c r="C5" s="34">
        <v>2845</v>
      </c>
      <c r="D5" s="34">
        <v>4184</v>
      </c>
      <c r="E5" s="34">
        <v>2317</v>
      </c>
      <c r="F5" s="84">
        <v>1238</v>
      </c>
      <c r="G5" s="34">
        <f t="shared" ref="G5" si="0">G4/G3*1000000</f>
        <v>4166.7877942188243</v>
      </c>
      <c r="H5" s="34">
        <v>3170</v>
      </c>
      <c r="I5" s="31"/>
    </row>
    <row r="6" spans="1:9" x14ac:dyDescent="0.35">
      <c r="A6" s="104" t="s">
        <v>277</v>
      </c>
      <c r="B6" s="15">
        <v>2.13</v>
      </c>
      <c r="C6" s="34">
        <v>3.47</v>
      </c>
      <c r="D6" s="15">
        <v>2.62</v>
      </c>
      <c r="E6" s="15">
        <v>8.16</v>
      </c>
      <c r="F6" s="35">
        <v>1</v>
      </c>
      <c r="G6" s="15">
        <v>2.27</v>
      </c>
      <c r="H6" s="15">
        <v>114.13</v>
      </c>
      <c r="I6" s="32"/>
    </row>
    <row r="7" spans="1:9" x14ac:dyDescent="0.35">
      <c r="A7" s="104" t="s">
        <v>447</v>
      </c>
      <c r="B7" s="15">
        <v>-349.2</v>
      </c>
      <c r="C7" s="152">
        <v>-4631</v>
      </c>
      <c r="D7" s="15">
        <v>-87</v>
      </c>
      <c r="E7" s="15">
        <v>0</v>
      </c>
      <c r="F7" s="35">
        <v>-1202.7</v>
      </c>
      <c r="G7" s="15">
        <v>10.199999999999999</v>
      </c>
      <c r="H7" s="38">
        <v>-5073.3</v>
      </c>
      <c r="I7" s="32"/>
    </row>
    <row r="8" spans="1:9" x14ac:dyDescent="0.35">
      <c r="A8" s="104" t="s">
        <v>446</v>
      </c>
      <c r="B8" s="24">
        <v>-2.7E-2</v>
      </c>
      <c r="C8" s="27">
        <f>C7/C16</f>
        <v>-0.05</v>
      </c>
      <c r="D8" s="22">
        <v>-1.2E-2</v>
      </c>
      <c r="E8" s="22">
        <v>0</v>
      </c>
      <c r="F8" s="20">
        <f>-F7/F4</f>
        <v>0.70747058823529418</v>
      </c>
      <c r="G8" s="20">
        <v>8.9999999999999993E-3</v>
      </c>
      <c r="H8" s="24">
        <v>6.7000000000000004E-2</v>
      </c>
    </row>
    <row r="9" spans="1:9" x14ac:dyDescent="0.35">
      <c r="A9" s="104" t="s">
        <v>663</v>
      </c>
      <c r="B9" s="22">
        <v>0.47099999999999997</v>
      </c>
      <c r="C9" s="28">
        <v>0.40300000000000002</v>
      </c>
      <c r="D9" s="29">
        <v>0.44</v>
      </c>
      <c r="E9" s="24">
        <v>0.11</v>
      </c>
      <c r="F9" s="33">
        <v>7.3999999999999996E-2</v>
      </c>
      <c r="G9" s="24">
        <v>0.38</v>
      </c>
      <c r="H9" s="24">
        <v>0.53900000000000003</v>
      </c>
    </row>
    <row r="10" spans="1:9" x14ac:dyDescent="0.35">
      <c r="A10" s="104" t="s">
        <v>186</v>
      </c>
      <c r="B10" s="54" t="s">
        <v>187</v>
      </c>
      <c r="C10" s="28" t="s">
        <v>193</v>
      </c>
      <c r="D10" s="58" t="s">
        <v>188</v>
      </c>
      <c r="E10" s="28" t="s">
        <v>190</v>
      </c>
      <c r="F10" s="70" t="s">
        <v>192</v>
      </c>
      <c r="G10" s="28" t="s">
        <v>191</v>
      </c>
      <c r="H10" s="28" t="s">
        <v>189</v>
      </c>
    </row>
    <row r="11" spans="1:9" x14ac:dyDescent="0.35">
      <c r="A11" s="104" t="s">
        <v>221</v>
      </c>
      <c r="B11" s="54" t="s">
        <v>235</v>
      </c>
      <c r="C11" s="28" t="s">
        <v>236</v>
      </c>
      <c r="D11" s="58" t="s">
        <v>237</v>
      </c>
      <c r="E11" s="28" t="s">
        <v>236</v>
      </c>
      <c r="F11" s="28" t="s">
        <v>236</v>
      </c>
      <c r="G11" s="28" t="s">
        <v>240</v>
      </c>
      <c r="H11" s="28" t="s">
        <v>236</v>
      </c>
    </row>
    <row r="12" spans="1:9" x14ac:dyDescent="0.35">
      <c r="A12" s="104" t="s">
        <v>1075</v>
      </c>
      <c r="B12" s="151" t="s">
        <v>407</v>
      </c>
      <c r="C12" s="151" t="s">
        <v>406</v>
      </c>
      <c r="D12" s="151" t="s">
        <v>406</v>
      </c>
      <c r="E12" s="151" t="s">
        <v>412</v>
      </c>
      <c r="F12" s="151" t="s">
        <v>406</v>
      </c>
      <c r="G12" s="151" t="s">
        <v>406</v>
      </c>
      <c r="H12" s="151" t="s">
        <v>406</v>
      </c>
    </row>
    <row r="13" spans="1:9" x14ac:dyDescent="0.35">
      <c r="A13" s="109" t="s">
        <v>137</v>
      </c>
      <c r="B13" s="110"/>
      <c r="C13" s="110"/>
      <c r="D13" s="110"/>
      <c r="E13" s="110"/>
      <c r="F13" s="110"/>
      <c r="G13" s="110"/>
      <c r="H13" s="110"/>
    </row>
    <row r="14" spans="1:9" x14ac:dyDescent="0.35">
      <c r="A14" s="104" t="s">
        <v>249</v>
      </c>
      <c r="B14" s="22">
        <v>0.03</v>
      </c>
      <c r="C14" s="28">
        <v>0.02</v>
      </c>
      <c r="D14" s="29">
        <v>4.9000000000000002E-2</v>
      </c>
      <c r="E14" s="24">
        <v>2.3E-2</v>
      </c>
      <c r="F14" s="33">
        <v>7.1999999999999995E-2</v>
      </c>
      <c r="G14" s="24">
        <v>0.03</v>
      </c>
      <c r="H14" s="24">
        <v>3.7999999999999999E-2</v>
      </c>
    </row>
    <row r="15" spans="1:9" x14ac:dyDescent="0.35">
      <c r="A15" s="104" t="s">
        <v>250</v>
      </c>
      <c r="B15" s="22">
        <v>-0.20899999999999999</v>
      </c>
      <c r="C15" s="28">
        <v>-1.4999999999999999E-2</v>
      </c>
      <c r="D15" s="29">
        <v>-3.3000000000000002E-2</v>
      </c>
      <c r="E15" s="24">
        <v>-0.06</v>
      </c>
      <c r="F15" s="70">
        <v>-3.6999999999999998E-2</v>
      </c>
      <c r="G15" s="24">
        <v>-0.03</v>
      </c>
      <c r="H15" s="24">
        <v>-9.8000000000000004E-2</v>
      </c>
    </row>
    <row r="16" spans="1:9" x14ac:dyDescent="0.35">
      <c r="A16" s="104" t="s">
        <v>449</v>
      </c>
      <c r="B16" s="35">
        <v>12984.2</v>
      </c>
      <c r="C16" s="35">
        <f>4631/5%</f>
        <v>92620</v>
      </c>
      <c r="D16" s="35">
        <v>2414</v>
      </c>
      <c r="E16" s="35">
        <f t="shared" ref="E16" si="1">E4*E6*(1+E14)</f>
        <v>12521.519999999999</v>
      </c>
      <c r="F16" s="35">
        <v>1813</v>
      </c>
      <c r="G16" s="35">
        <f>(G4*G6)*(1+G14)</f>
        <v>1005.383</v>
      </c>
      <c r="H16" s="35">
        <v>114458</v>
      </c>
    </row>
    <row r="17" spans="1:8" x14ac:dyDescent="0.35">
      <c r="A17" s="104" t="s">
        <v>450</v>
      </c>
      <c r="B17" s="35">
        <v>9255.1</v>
      </c>
      <c r="C17" s="35">
        <f>C4*C6*(1+C15)</f>
        <v>85448.75</v>
      </c>
      <c r="D17" s="35">
        <v>2238</v>
      </c>
      <c r="E17" s="35">
        <f t="shared" ref="E17:F17" si="2">E4*E6*(1+E15)</f>
        <v>11505.599999999999</v>
      </c>
      <c r="F17" s="35">
        <f t="shared" si="2"/>
        <v>1637.1</v>
      </c>
      <c r="G17" s="35">
        <v>1074.4000000000001</v>
      </c>
      <c r="H17" s="35">
        <v>108560</v>
      </c>
    </row>
    <row r="18" spans="1:8" ht="25" customHeight="1" x14ac:dyDescent="0.35">
      <c r="A18" s="104" t="s">
        <v>247</v>
      </c>
      <c r="B18" s="25">
        <v>3491.7</v>
      </c>
      <c r="C18" s="81">
        <v>14095.4</v>
      </c>
      <c r="D18" s="35">
        <v>826.02590099999998</v>
      </c>
      <c r="E18" s="40">
        <v>3941</v>
      </c>
      <c r="F18" s="40">
        <v>805.5</v>
      </c>
      <c r="G18" s="40">
        <v>578.20000000000005</v>
      </c>
      <c r="H18" s="40">
        <v>39584.300000000003</v>
      </c>
    </row>
    <row r="19" spans="1:8" ht="29.5" customHeight="1" x14ac:dyDescent="0.35">
      <c r="A19" s="104" t="s">
        <v>248</v>
      </c>
      <c r="B19" s="25">
        <v>2507.6</v>
      </c>
      <c r="C19" s="40">
        <v>12095.4</v>
      </c>
      <c r="D19" s="57">
        <f>D18-12.5</f>
        <v>813.52590099999998</v>
      </c>
      <c r="E19" s="40">
        <f>E18-190</f>
        <v>3751</v>
      </c>
      <c r="F19" s="127"/>
      <c r="G19" s="40">
        <v>435.2</v>
      </c>
      <c r="H19" s="127"/>
    </row>
    <row r="20" spans="1:8" ht="29.5" customHeight="1" x14ac:dyDescent="0.35">
      <c r="A20" s="104" t="s">
        <v>519</v>
      </c>
      <c r="B20" s="90">
        <f>(B18-B19)/(B18-13.8)</f>
        <v>0.28295810690359124</v>
      </c>
      <c r="C20" s="90">
        <f>(C18-C19)/(C18-932.1)</f>
        <v>0.15193758404047619</v>
      </c>
      <c r="D20" s="157">
        <f>12.5/646.376616</f>
        <v>1.9338570874290414E-2</v>
      </c>
      <c r="E20" s="90">
        <f>190/3570</f>
        <v>5.3221288515406161E-2</v>
      </c>
      <c r="F20" s="127"/>
      <c r="G20" s="90">
        <f>(305.7-248.7)/305.7</f>
        <v>0.18645731108930325</v>
      </c>
      <c r="H20" s="127"/>
    </row>
    <row r="21" spans="1:8" ht="29.15" customHeight="1" x14ac:dyDescent="0.35">
      <c r="A21" s="104" t="s">
        <v>664</v>
      </c>
      <c r="B21" s="55">
        <v>0.60899999999999999</v>
      </c>
      <c r="C21" s="55">
        <f>C9*C16/C17</f>
        <v>0.43682160359279687</v>
      </c>
      <c r="D21" s="55">
        <v>0.48</v>
      </c>
      <c r="E21" s="55">
        <f>(E9*E4+E46)/((1+E15)*E4)</f>
        <v>0.54680851063829783</v>
      </c>
      <c r="F21" s="55">
        <f>(F9*F4+F46)/((1+F15)*F4)</f>
        <v>7.6843198338525445E-2</v>
      </c>
      <c r="G21" s="55">
        <v>0.46100000000000002</v>
      </c>
      <c r="H21" s="127"/>
    </row>
    <row r="22" spans="1:8" ht="29.15" customHeight="1" x14ac:dyDescent="0.35">
      <c r="A22" s="104" t="s">
        <v>462</v>
      </c>
      <c r="B22" s="55" t="s">
        <v>127</v>
      </c>
      <c r="C22" s="55" t="s">
        <v>464</v>
      </c>
      <c r="D22" s="55" t="s">
        <v>465</v>
      </c>
      <c r="E22" s="55" t="s">
        <v>464</v>
      </c>
      <c r="F22" s="55" t="s">
        <v>466</v>
      </c>
      <c r="G22" s="55" t="s">
        <v>465</v>
      </c>
      <c r="H22" s="55" t="s">
        <v>464</v>
      </c>
    </row>
    <row r="23" spans="1:8" ht="29.15" customHeight="1" x14ac:dyDescent="0.35">
      <c r="A23" s="104" t="s">
        <v>463</v>
      </c>
      <c r="B23" s="55" t="s">
        <v>127</v>
      </c>
      <c r="C23" s="55" t="s">
        <v>465</v>
      </c>
      <c r="D23" s="55" t="s">
        <v>465</v>
      </c>
      <c r="E23" s="55" t="s">
        <v>464</v>
      </c>
      <c r="F23" s="55" t="s">
        <v>466</v>
      </c>
      <c r="G23" s="55" t="s">
        <v>465</v>
      </c>
      <c r="H23" s="55" t="s">
        <v>464</v>
      </c>
    </row>
    <row r="24" spans="1:8" ht="14.5" customHeight="1" x14ac:dyDescent="0.35">
      <c r="A24" s="109" t="s">
        <v>138</v>
      </c>
      <c r="B24" s="112"/>
      <c r="C24" s="111"/>
      <c r="D24" s="112"/>
      <c r="E24" s="112"/>
      <c r="F24" s="113"/>
      <c r="G24" s="113"/>
      <c r="H24" s="112"/>
    </row>
    <row r="25" spans="1:8" s="116" customFormat="1" ht="14.5" customHeight="1" x14ac:dyDescent="0.35">
      <c r="A25" s="104" t="s">
        <v>126</v>
      </c>
      <c r="B25" s="23">
        <v>1000</v>
      </c>
      <c r="C25" s="45">
        <v>5700</v>
      </c>
      <c r="D25" s="115">
        <v>66.3</v>
      </c>
      <c r="E25" s="23">
        <f>139.7+309</f>
        <v>448.7</v>
      </c>
      <c r="F25" s="23">
        <v>250</v>
      </c>
      <c r="G25" s="23">
        <v>60</v>
      </c>
      <c r="H25" s="23">
        <v>5900</v>
      </c>
    </row>
    <row r="26" spans="1:8" x14ac:dyDescent="0.35">
      <c r="A26" s="104" t="s">
        <v>85</v>
      </c>
      <c r="B26" s="25">
        <f>1000/B6</f>
        <v>469.48356807511738</v>
      </c>
      <c r="C26" s="40">
        <f>5700/C6</f>
        <v>1642.651296829971</v>
      </c>
      <c r="D26" s="25">
        <f>D25/D6</f>
        <v>25.305343511450381</v>
      </c>
      <c r="E26" s="25">
        <f>E25/E6</f>
        <v>54.987745098039213</v>
      </c>
      <c r="F26" s="25">
        <f>250/F6</f>
        <v>250</v>
      </c>
      <c r="G26" s="25">
        <f>60/G6</f>
        <v>26.431718061674008</v>
      </c>
      <c r="H26" s="25">
        <f>5900/H6</f>
        <v>51.695435030228687</v>
      </c>
    </row>
    <row r="27" spans="1:8" x14ac:dyDescent="0.35">
      <c r="A27" s="104" t="s">
        <v>124</v>
      </c>
      <c r="B27" s="47">
        <f>B26/B4</f>
        <v>8.5360648740930425E-2</v>
      </c>
      <c r="C27" s="55">
        <f t="shared" ref="C27:G27" si="3">C26/C4</f>
        <v>6.5706051873198834E-2</v>
      </c>
      <c r="D27" s="47">
        <f t="shared" si="3"/>
        <v>3.0860175013963879E-2</v>
      </c>
      <c r="E27" s="47">
        <f t="shared" si="3"/>
        <v>3.665849673202614E-2</v>
      </c>
      <c r="F27" s="47">
        <f>F26/F4</f>
        <v>0.14705882352941177</v>
      </c>
      <c r="G27" s="47">
        <f t="shared" si="3"/>
        <v>6.1469111771334906E-2</v>
      </c>
      <c r="H27" s="47">
        <f>H26/H4</f>
        <v>5.5586489279815791E-2</v>
      </c>
    </row>
    <row r="28" spans="1:8" x14ac:dyDescent="0.35">
      <c r="A28" s="105" t="s">
        <v>86</v>
      </c>
      <c r="B28" s="49">
        <f>B26*1000000/B3</f>
        <v>521.64840897235263</v>
      </c>
      <c r="C28" s="71">
        <f>C26*1000000/C3</f>
        <v>186.66492009431491</v>
      </c>
      <c r="D28" s="49">
        <f t="shared" ref="D28:G28" si="4">D26*1000000/D3</f>
        <v>126.5267175572519</v>
      </c>
      <c r="E28" s="49">
        <f>E26*1000000/E3</f>
        <v>91.64624183006535</v>
      </c>
      <c r="F28" s="50">
        <f>F26/F3*1000000</f>
        <v>178.57142857142858</v>
      </c>
      <c r="G28" s="49">
        <f t="shared" si="4"/>
        <v>256.12874465027096</v>
      </c>
      <c r="H28" s="49">
        <f>H26*1000000/H3</f>
        <v>178.26012079389204</v>
      </c>
    </row>
    <row r="29" spans="1:8" x14ac:dyDescent="0.35">
      <c r="A29" s="117" t="s">
        <v>139</v>
      </c>
      <c r="B29" s="112"/>
      <c r="C29" s="118"/>
      <c r="D29" s="112"/>
      <c r="E29" s="112"/>
      <c r="F29" s="113"/>
      <c r="G29" s="113"/>
      <c r="H29" s="112"/>
    </row>
    <row r="30" spans="1:8" ht="17.5" customHeight="1" x14ac:dyDescent="0.35">
      <c r="A30" s="108" t="s">
        <v>140</v>
      </c>
      <c r="B30" s="125"/>
      <c r="C30" s="124"/>
      <c r="D30" s="125"/>
      <c r="E30" s="125"/>
      <c r="F30" s="126"/>
      <c r="G30" s="126"/>
      <c r="H30" s="125"/>
    </row>
    <row r="31" spans="1:8" ht="18.649999999999999" customHeight="1" x14ac:dyDescent="0.35">
      <c r="A31" s="105" t="s">
        <v>24</v>
      </c>
      <c r="B31" s="19" t="s">
        <v>12</v>
      </c>
      <c r="C31" s="74" t="s">
        <v>12</v>
      </c>
      <c r="D31" s="19" t="s">
        <v>12</v>
      </c>
      <c r="E31" s="19" t="s">
        <v>13</v>
      </c>
      <c r="F31" s="19" t="s">
        <v>12</v>
      </c>
      <c r="G31" s="19" t="s">
        <v>13</v>
      </c>
      <c r="H31" s="19" t="s">
        <v>12</v>
      </c>
    </row>
    <row r="32" spans="1:8" ht="18.649999999999999" customHeight="1" x14ac:dyDescent="0.35">
      <c r="A32" s="105" t="s">
        <v>25</v>
      </c>
      <c r="B32" s="19" t="s">
        <v>13</v>
      </c>
      <c r="C32" s="74" t="s">
        <v>12</v>
      </c>
      <c r="D32" s="19" t="s">
        <v>13</v>
      </c>
      <c r="E32" s="19" t="s">
        <v>13</v>
      </c>
      <c r="F32" s="19" t="s">
        <v>71</v>
      </c>
      <c r="G32" s="19" t="s">
        <v>13</v>
      </c>
      <c r="H32" s="19" t="s">
        <v>13</v>
      </c>
    </row>
    <row r="33" spans="1:9" ht="17.149999999999999" customHeight="1" x14ac:dyDescent="0.35">
      <c r="A33" s="105" t="s">
        <v>43</v>
      </c>
      <c r="B33" s="19" t="s">
        <v>12</v>
      </c>
      <c r="C33" s="74" t="s">
        <v>13</v>
      </c>
      <c r="D33" s="19" t="s">
        <v>12</v>
      </c>
      <c r="E33" s="19" t="s">
        <v>12</v>
      </c>
      <c r="F33" s="19" t="s">
        <v>71</v>
      </c>
      <c r="G33" s="19" t="s">
        <v>12</v>
      </c>
      <c r="H33" s="19" t="s">
        <v>12</v>
      </c>
    </row>
    <row r="34" spans="1:9" ht="23.15" customHeight="1" x14ac:dyDescent="0.35">
      <c r="A34" s="108" t="s">
        <v>679</v>
      </c>
      <c r="B34" s="125"/>
      <c r="C34" s="124"/>
      <c r="D34" s="125"/>
      <c r="E34" s="125"/>
      <c r="F34" s="126"/>
      <c r="G34" s="126"/>
      <c r="H34" s="125"/>
    </row>
    <row r="35" spans="1:9" s="131" customFormat="1" ht="17.149999999999999" customHeight="1" x14ac:dyDescent="0.35">
      <c r="A35" s="104" t="s">
        <v>680</v>
      </c>
      <c r="B35" s="21">
        <v>100</v>
      </c>
      <c r="C35" s="21">
        <v>600</v>
      </c>
      <c r="D35" s="21">
        <v>38.4</v>
      </c>
      <c r="E35" s="21">
        <f>139.7+309</f>
        <v>448.7</v>
      </c>
      <c r="F35" s="21">
        <v>150</v>
      </c>
      <c r="G35" s="21">
        <v>60</v>
      </c>
      <c r="H35" s="21">
        <v>4200</v>
      </c>
    </row>
    <row r="36" spans="1:9" ht="17.149999999999999" customHeight="1" x14ac:dyDescent="0.35">
      <c r="A36" s="104" t="s">
        <v>251</v>
      </c>
      <c r="B36" s="19" t="s">
        <v>12</v>
      </c>
      <c r="C36" s="74" t="s">
        <v>13</v>
      </c>
      <c r="D36" s="19" t="s">
        <v>12</v>
      </c>
      <c r="E36" s="19" t="s">
        <v>13</v>
      </c>
      <c r="F36" s="37" t="s">
        <v>12</v>
      </c>
      <c r="G36" s="37" t="s">
        <v>12</v>
      </c>
      <c r="H36" s="19" t="s">
        <v>13</v>
      </c>
      <c r="I36" s="52"/>
    </row>
    <row r="37" spans="1:9" ht="17.149999999999999" customHeight="1" x14ac:dyDescent="0.35">
      <c r="A37" s="104" t="s">
        <v>135</v>
      </c>
      <c r="B37" s="48">
        <f>100/B6</f>
        <v>46.948356807511736</v>
      </c>
      <c r="C37" s="75">
        <f>600/C6</f>
        <v>172.91066282420749</v>
      </c>
      <c r="D37" s="40">
        <f>D35/D6</f>
        <v>14.65648854961832</v>
      </c>
      <c r="E37" s="25">
        <f>E35/E6</f>
        <v>54.987745098039213</v>
      </c>
      <c r="F37" s="19">
        <f>150/1</f>
        <v>150</v>
      </c>
      <c r="G37" s="25">
        <f>G35/G6</f>
        <v>26.431718061674008</v>
      </c>
      <c r="H37" s="48">
        <f>H35/H6</f>
        <v>36.80014019101025</v>
      </c>
    </row>
    <row r="38" spans="1:9" ht="17.149999999999999" customHeight="1" x14ac:dyDescent="0.35">
      <c r="A38" s="135" t="s">
        <v>301</v>
      </c>
      <c r="B38" s="48">
        <v>18.78</v>
      </c>
      <c r="C38" s="75">
        <f>(60+37+30)/C6</f>
        <v>36.599423631123919</v>
      </c>
      <c r="D38" s="19">
        <v>7.75</v>
      </c>
      <c r="E38" s="25">
        <f>10/E6</f>
        <v>1.2254901960784315</v>
      </c>
      <c r="F38" s="19">
        <v>0</v>
      </c>
      <c r="G38" s="25">
        <v>8.5</v>
      </c>
      <c r="H38" s="49">
        <v>0</v>
      </c>
    </row>
    <row r="39" spans="1:9" ht="17.149999999999999" customHeight="1" x14ac:dyDescent="0.35">
      <c r="A39" s="135" t="s">
        <v>303</v>
      </c>
      <c r="B39" s="48">
        <v>0.47</v>
      </c>
      <c r="C39" s="75">
        <f>(113+50)/C6</f>
        <v>46.97406340057637</v>
      </c>
      <c r="D39" s="19">
        <v>1.34</v>
      </c>
      <c r="E39" s="25">
        <f>70/E6</f>
        <v>8.5784313725490193</v>
      </c>
      <c r="F39" s="19">
        <v>2.44</v>
      </c>
      <c r="G39" s="25">
        <v>1.41</v>
      </c>
      <c r="H39" s="49">
        <v>0</v>
      </c>
    </row>
    <row r="40" spans="1:9" ht="17.149999999999999" customHeight="1" x14ac:dyDescent="0.35">
      <c r="A40" s="135" t="s">
        <v>302</v>
      </c>
      <c r="B40" s="15">
        <v>9.67</v>
      </c>
      <c r="C40" s="75">
        <v>0</v>
      </c>
      <c r="D40" s="25">
        <v>1.1399999999999999</v>
      </c>
      <c r="E40" s="25">
        <f>5/E6</f>
        <v>0.61274509803921573</v>
      </c>
      <c r="F40" s="19">
        <v>64.2</v>
      </c>
      <c r="G40" s="25">
        <v>2.2000000000000002</v>
      </c>
      <c r="H40" s="48">
        <v>26.37</v>
      </c>
    </row>
    <row r="41" spans="1:9" ht="17.149999999999999" customHeight="1" x14ac:dyDescent="0.35">
      <c r="A41" s="135" t="s">
        <v>578</v>
      </c>
      <c r="B41" s="35">
        <f>5/B6</f>
        <v>2.347417840375587</v>
      </c>
      <c r="C41" s="75">
        <v>45.24</v>
      </c>
      <c r="D41" s="25">
        <f>3/D6</f>
        <v>1.1450381679389312</v>
      </c>
      <c r="E41" s="25">
        <f>68/E6</f>
        <v>8.3333333333333339</v>
      </c>
      <c r="F41" s="19" t="s">
        <v>127</v>
      </c>
      <c r="G41" s="25">
        <f>17.4/G6</f>
        <v>7.6651982378854617</v>
      </c>
      <c r="H41" s="48">
        <f>400/H6</f>
        <v>3.504775256286691</v>
      </c>
    </row>
    <row r="42" spans="1:9" ht="17.149999999999999" customHeight="1" x14ac:dyDescent="0.35">
      <c r="A42" s="135" t="s">
        <v>584</v>
      </c>
      <c r="B42" s="35">
        <v>0</v>
      </c>
      <c r="C42" s="75">
        <v>0</v>
      </c>
      <c r="D42" s="25">
        <v>0</v>
      </c>
      <c r="E42" s="25">
        <f>(39+30+21)/E6</f>
        <v>11.029411764705882</v>
      </c>
      <c r="F42" s="19">
        <v>0</v>
      </c>
      <c r="G42" s="25">
        <f>4/G6</f>
        <v>1.7621145374449338</v>
      </c>
      <c r="H42" s="48">
        <v>0</v>
      </c>
    </row>
    <row r="43" spans="1:9" ht="17.149999999999999" customHeight="1" x14ac:dyDescent="0.35">
      <c r="A43" s="104" t="s">
        <v>260</v>
      </c>
      <c r="B43" s="53">
        <f t="shared" ref="B43:H43" si="5">B35/B16</f>
        <v>7.701668181328075E-3</v>
      </c>
      <c r="C43" s="76">
        <f t="shared" si="5"/>
        <v>6.4780824875836753E-3</v>
      </c>
      <c r="D43" s="76">
        <f t="shared" si="5"/>
        <v>1.5907207953603977E-2</v>
      </c>
      <c r="E43" s="47">
        <f t="shared" si="5"/>
        <v>3.5834307655939535E-2</v>
      </c>
      <c r="F43" s="47">
        <f t="shared" si="5"/>
        <v>8.2735797021511306E-2</v>
      </c>
      <c r="G43" s="47">
        <f t="shared" si="5"/>
        <v>5.9678749292558154E-2</v>
      </c>
      <c r="H43" s="47">
        <f t="shared" si="5"/>
        <v>3.6694682765730659E-2</v>
      </c>
    </row>
    <row r="44" spans="1:9" x14ac:dyDescent="0.35">
      <c r="A44" s="104" t="s">
        <v>136</v>
      </c>
      <c r="B44" s="40">
        <f>B37/B3*1000000</f>
        <v>52.164840897235266</v>
      </c>
      <c r="C44" s="40">
        <f>C37/C3*1000000</f>
        <v>19.648938957296306</v>
      </c>
      <c r="D44" s="40">
        <f>D37/D3*1000000</f>
        <v>73.282442748091597</v>
      </c>
      <c r="E44" s="40">
        <f>E37/E16</f>
        <v>4.3914592715612174E-3</v>
      </c>
      <c r="F44" s="40">
        <f>F37/F3*1000000</f>
        <v>107.14285714285714</v>
      </c>
      <c r="G44" s="40">
        <f>G37/G3*1000000</f>
        <v>256.1287446502709</v>
      </c>
      <c r="H44" s="40">
        <f>H37/H3*1000000</f>
        <v>126.89703514141466</v>
      </c>
    </row>
    <row r="45" spans="1:9" x14ac:dyDescent="0.35">
      <c r="A45" s="108" t="s">
        <v>141</v>
      </c>
      <c r="B45" s="23" t="s">
        <v>12</v>
      </c>
      <c r="C45" s="23" t="s">
        <v>12</v>
      </c>
      <c r="D45" s="19" t="s">
        <v>12</v>
      </c>
      <c r="E45" s="19" t="s">
        <v>12</v>
      </c>
      <c r="F45" s="37" t="s">
        <v>47</v>
      </c>
      <c r="G45" s="37" t="s">
        <v>12</v>
      </c>
      <c r="H45" s="23" t="s">
        <v>13</v>
      </c>
    </row>
    <row r="46" spans="1:9" x14ac:dyDescent="0.35">
      <c r="A46" s="104" t="s">
        <v>154</v>
      </c>
      <c r="B46" s="19">
        <f>1028.7-349.2</f>
        <v>679.5</v>
      </c>
      <c r="C46" s="23" t="s">
        <v>668</v>
      </c>
      <c r="D46" s="19">
        <v>8.1</v>
      </c>
      <c r="E46" s="19">
        <v>606</v>
      </c>
      <c r="F46" s="37">
        <v>0</v>
      </c>
      <c r="G46" s="82">
        <v>30</v>
      </c>
      <c r="H46" s="23">
        <v>0</v>
      </c>
    </row>
    <row r="47" spans="1:9" x14ac:dyDescent="0.35">
      <c r="A47" s="104" t="s">
        <v>155</v>
      </c>
      <c r="B47" s="19">
        <v>1028.7</v>
      </c>
      <c r="C47" s="40">
        <f>C7</f>
        <v>-4631</v>
      </c>
      <c r="D47" s="48">
        <v>95</v>
      </c>
      <c r="E47" s="19">
        <v>429.5</v>
      </c>
      <c r="F47" s="60">
        <v>627.91</v>
      </c>
      <c r="G47" s="37">
        <v>16.899999999999999</v>
      </c>
      <c r="H47" s="23">
        <v>-5073.3</v>
      </c>
    </row>
    <row r="48" spans="1:9" x14ac:dyDescent="0.35">
      <c r="A48" s="104" t="s">
        <v>145</v>
      </c>
      <c r="B48" s="54">
        <v>-0.09</v>
      </c>
      <c r="C48" s="55">
        <f>C7/C17</f>
        <v>-5.4196228733597626E-2</v>
      </c>
      <c r="D48" s="54">
        <v>-1.6E-2</v>
      </c>
      <c r="E48" s="54">
        <v>-0.01</v>
      </c>
      <c r="F48" s="70">
        <v>-0.308</v>
      </c>
      <c r="G48" s="69">
        <f>-1.6%</f>
        <v>-1.6E-2</v>
      </c>
      <c r="H48" s="128">
        <f>-H8/(1+H15)</f>
        <v>-7.4279379157427938E-2</v>
      </c>
    </row>
    <row r="49" spans="1:8" x14ac:dyDescent="0.35">
      <c r="A49" s="109" t="s">
        <v>142</v>
      </c>
      <c r="B49" s="112"/>
      <c r="C49" s="111"/>
      <c r="D49" s="112"/>
      <c r="E49" s="112"/>
      <c r="F49" s="113"/>
      <c r="G49" s="113"/>
      <c r="H49" s="112"/>
    </row>
    <row r="50" spans="1:8" x14ac:dyDescent="0.35">
      <c r="A50" s="105" t="s">
        <v>7</v>
      </c>
      <c r="B50" s="19" t="s">
        <v>12</v>
      </c>
      <c r="C50" s="74" t="s">
        <v>300</v>
      </c>
      <c r="D50" s="19" t="s">
        <v>12</v>
      </c>
      <c r="E50" s="19" t="s">
        <v>12</v>
      </c>
      <c r="F50" s="37" t="s">
        <v>13</v>
      </c>
      <c r="G50" s="37" t="s">
        <v>13</v>
      </c>
      <c r="H50" s="19" t="s">
        <v>12</v>
      </c>
    </row>
    <row r="51" spans="1:8" x14ac:dyDescent="0.35">
      <c r="A51" s="105" t="s">
        <v>11</v>
      </c>
      <c r="B51" s="19" t="s">
        <v>12</v>
      </c>
      <c r="C51" s="77" t="s">
        <v>13</v>
      </c>
      <c r="D51" s="19" t="s">
        <v>12</v>
      </c>
      <c r="E51" s="19" t="s">
        <v>13</v>
      </c>
      <c r="F51" s="37" t="s">
        <v>13</v>
      </c>
      <c r="G51" s="37" t="s">
        <v>12</v>
      </c>
      <c r="H51" s="19" t="s">
        <v>13</v>
      </c>
    </row>
    <row r="52" spans="1:8" ht="19.5" customHeight="1" x14ac:dyDescent="0.35">
      <c r="A52" s="109" t="s">
        <v>143</v>
      </c>
      <c r="B52" s="120"/>
      <c r="C52" s="119"/>
      <c r="D52" s="114"/>
      <c r="E52" s="114"/>
      <c r="F52" s="121"/>
      <c r="G52" s="121"/>
      <c r="H52" s="114"/>
    </row>
    <row r="53" spans="1:8" ht="19" customHeight="1" x14ac:dyDescent="0.35">
      <c r="A53" s="105" t="s">
        <v>22</v>
      </c>
      <c r="B53" s="19" t="s">
        <v>12</v>
      </c>
      <c r="C53" s="36" t="s">
        <v>12</v>
      </c>
      <c r="D53" s="19" t="s">
        <v>12</v>
      </c>
      <c r="E53" s="19" t="s">
        <v>12</v>
      </c>
      <c r="F53" s="19" t="s">
        <v>12</v>
      </c>
      <c r="G53" s="19" t="s">
        <v>12</v>
      </c>
      <c r="H53" s="19" t="s">
        <v>13</v>
      </c>
    </row>
    <row r="54" spans="1:8" ht="18" customHeight="1" x14ac:dyDescent="0.35">
      <c r="A54" s="105" t="s">
        <v>23</v>
      </c>
      <c r="B54" s="19" t="s">
        <v>12</v>
      </c>
      <c r="C54" s="36" t="s">
        <v>12</v>
      </c>
      <c r="D54" s="19" t="s">
        <v>12</v>
      </c>
      <c r="E54" s="19" t="s">
        <v>12</v>
      </c>
      <c r="F54" s="19" t="s">
        <v>12</v>
      </c>
      <c r="G54" s="19" t="s">
        <v>12</v>
      </c>
      <c r="H54" s="43" t="s">
        <v>13</v>
      </c>
    </row>
    <row r="55" spans="1:8" ht="17.149999999999999" customHeight="1" x14ac:dyDescent="0.35">
      <c r="A55" s="109" t="s">
        <v>144</v>
      </c>
      <c r="B55" s="114"/>
      <c r="C55" s="122"/>
      <c r="D55" s="114"/>
      <c r="E55" s="114"/>
      <c r="F55" s="121"/>
      <c r="G55" s="121"/>
      <c r="H55" s="114"/>
    </row>
    <row r="56" spans="1:8" ht="31" customHeight="1" x14ac:dyDescent="0.35">
      <c r="A56" s="104" t="s">
        <v>82</v>
      </c>
      <c r="B56" s="19" t="s">
        <v>13</v>
      </c>
      <c r="C56" s="36" t="s">
        <v>12</v>
      </c>
      <c r="D56" s="44" t="s">
        <v>84</v>
      </c>
      <c r="E56" s="19" t="s">
        <v>12</v>
      </c>
      <c r="F56" s="19" t="s">
        <v>13</v>
      </c>
      <c r="G56" s="44" t="s">
        <v>13</v>
      </c>
      <c r="H56" s="19" t="s">
        <v>13</v>
      </c>
    </row>
    <row r="57" spans="1:8" ht="28.5" customHeight="1" x14ac:dyDescent="0.35">
      <c r="A57" s="105" t="s">
        <v>19</v>
      </c>
      <c r="B57" s="19" t="s">
        <v>41</v>
      </c>
      <c r="C57" s="36" t="s">
        <v>12</v>
      </c>
      <c r="D57" s="23" t="s">
        <v>71</v>
      </c>
      <c r="E57" s="23" t="s">
        <v>12</v>
      </c>
      <c r="F57" s="23" t="s">
        <v>13</v>
      </c>
      <c r="G57" s="23" t="s">
        <v>13</v>
      </c>
      <c r="H57" s="19" t="s">
        <v>13</v>
      </c>
    </row>
    <row r="58" spans="1:8" ht="45" customHeight="1" x14ac:dyDescent="0.35">
      <c r="A58" s="105" t="s">
        <v>20</v>
      </c>
      <c r="B58" s="44" t="s">
        <v>83</v>
      </c>
      <c r="C58" s="36" t="s">
        <v>12</v>
      </c>
      <c r="D58" s="23" t="s">
        <v>13</v>
      </c>
      <c r="E58" s="23" t="s">
        <v>13</v>
      </c>
      <c r="F58" s="23" t="s">
        <v>13</v>
      </c>
      <c r="G58" s="23" t="s">
        <v>13</v>
      </c>
      <c r="H58" s="19" t="s">
        <v>12</v>
      </c>
    </row>
    <row r="59" spans="1:8" ht="33" customHeight="1" x14ac:dyDescent="0.35">
      <c r="A59" s="105" t="s">
        <v>21</v>
      </c>
      <c r="B59" s="19" t="s">
        <v>13</v>
      </c>
      <c r="C59" s="36" t="s">
        <v>12</v>
      </c>
      <c r="D59" s="23" t="s">
        <v>13</v>
      </c>
      <c r="E59" s="23" t="s">
        <v>12</v>
      </c>
      <c r="F59" s="23" t="s">
        <v>13</v>
      </c>
      <c r="G59" s="23" t="s">
        <v>13</v>
      </c>
      <c r="H59" s="19" t="s">
        <v>13</v>
      </c>
    </row>
    <row r="60" spans="1:8" ht="96" customHeight="1" x14ac:dyDescent="0.35">
      <c r="A60" s="117" t="s">
        <v>259</v>
      </c>
      <c r="B60" s="45" t="s">
        <v>224</v>
      </c>
      <c r="C60" s="36" t="s">
        <v>223</v>
      </c>
      <c r="D60" s="44" t="s">
        <v>226</v>
      </c>
      <c r="E60" s="45" t="s">
        <v>227</v>
      </c>
      <c r="F60" s="23" t="s">
        <v>127</v>
      </c>
      <c r="G60" s="45" t="s">
        <v>229</v>
      </c>
      <c r="H60" s="44" t="s">
        <v>225</v>
      </c>
    </row>
    <row r="61" spans="1:8" ht="37.5" customHeight="1" x14ac:dyDescent="0.35">
      <c r="A61" s="117" t="s">
        <v>977</v>
      </c>
      <c r="B61" s="94">
        <f>SUM(B64:B68)</f>
        <v>291.57500299999998</v>
      </c>
      <c r="C61" s="25">
        <f>SUM(C64:C68)</f>
        <v>424.73249499999997</v>
      </c>
      <c r="D61" s="35">
        <f t="shared" ref="D61:G61" si="6">SUM(D64:D68)</f>
        <v>63.620000000000005</v>
      </c>
      <c r="E61" s="25">
        <f t="shared" si="6"/>
        <v>112.086</v>
      </c>
      <c r="F61" s="25">
        <f>SUM(F64:F68)</f>
        <v>11.64</v>
      </c>
      <c r="G61" s="35">
        <f t="shared" si="6"/>
        <v>41.590378999999999</v>
      </c>
      <c r="H61" s="25">
        <f>SUM(H64:H68)</f>
        <v>37.892000000000003</v>
      </c>
    </row>
    <row r="62" spans="1:8" ht="30" customHeight="1" x14ac:dyDescent="0.35">
      <c r="A62" s="156" t="s">
        <v>457</v>
      </c>
      <c r="B62" s="94"/>
      <c r="C62" s="25">
        <v>1500</v>
      </c>
      <c r="D62" s="35">
        <v>40.799999999999997</v>
      </c>
      <c r="E62" s="25">
        <f>213+164+69</f>
        <v>446</v>
      </c>
      <c r="F62" s="25" t="s">
        <v>665</v>
      </c>
      <c r="G62" s="35">
        <f>11.6+34.9</f>
        <v>46.5</v>
      </c>
      <c r="H62" s="25" t="s">
        <v>665</v>
      </c>
    </row>
    <row r="63" spans="1:8" x14ac:dyDescent="0.35">
      <c r="A63" s="104" t="s">
        <v>125</v>
      </c>
      <c r="B63" s="95">
        <f>B61*B6/B16</f>
        <v>4.7831576561513219E-2</v>
      </c>
      <c r="C63" s="47">
        <f>C61*C6/C16</f>
        <v>1.5912564863420426E-2</v>
      </c>
      <c r="D63" s="47">
        <f>D61*D6/D16</f>
        <v>6.904904722452361E-2</v>
      </c>
      <c r="E63" s="47">
        <f t="shared" ref="E63:F63" si="7">E61*E6/E16</f>
        <v>7.3043988269794732E-2</v>
      </c>
      <c r="F63" s="47">
        <f t="shared" si="7"/>
        <v>6.420297848869278E-3</v>
      </c>
      <c r="G63" s="47">
        <f>G61*G6/G16</f>
        <v>9.3904671483404825E-2</v>
      </c>
      <c r="H63" s="47">
        <f>H61*H6/H16</f>
        <v>3.7783413653916728E-2</v>
      </c>
    </row>
    <row r="64" spans="1:8" x14ac:dyDescent="0.35">
      <c r="A64" s="105" t="s">
        <v>91</v>
      </c>
      <c r="B64" s="96">
        <f>1.51+200</f>
        <v>201.51</v>
      </c>
      <c r="C64" s="12">
        <v>4.45</v>
      </c>
      <c r="D64" s="35">
        <v>25.34</v>
      </c>
      <c r="E64" s="38">
        <v>27.5</v>
      </c>
      <c r="F64" s="12">
        <v>2.6</v>
      </c>
      <c r="G64" s="35">
        <f>6+0.47+12.2</f>
        <v>18.669999999999998</v>
      </c>
      <c r="H64" s="12">
        <v>2.36</v>
      </c>
    </row>
    <row r="65" spans="1:8" x14ac:dyDescent="0.35">
      <c r="A65" s="105" t="s">
        <v>92</v>
      </c>
      <c r="B65" s="94">
        <v>7.4</v>
      </c>
      <c r="C65" s="6">
        <f>20</f>
        <v>20</v>
      </c>
      <c r="D65" s="35">
        <v>8.5</v>
      </c>
      <c r="E65" s="21">
        <v>15</v>
      </c>
      <c r="F65" s="21">
        <v>0</v>
      </c>
      <c r="G65" s="35">
        <f>2.89+8.4+0.102</f>
        <v>11.392000000000001</v>
      </c>
      <c r="H65" s="38">
        <v>10</v>
      </c>
    </row>
    <row r="66" spans="1:8" x14ac:dyDescent="0.35">
      <c r="A66" s="105" t="s">
        <v>99</v>
      </c>
      <c r="B66" s="94">
        <v>0</v>
      </c>
      <c r="C66" s="19">
        <v>363.6</v>
      </c>
      <c r="D66" s="35">
        <v>22.03</v>
      </c>
      <c r="E66" s="21">
        <f>0.816+28.5</f>
        <v>29.315999999999999</v>
      </c>
      <c r="F66" s="21">
        <v>0</v>
      </c>
      <c r="G66" s="35">
        <v>0</v>
      </c>
      <c r="H66" s="19">
        <v>0</v>
      </c>
    </row>
    <row r="67" spans="1:8" x14ac:dyDescent="0.35">
      <c r="A67" s="105" t="s">
        <v>93</v>
      </c>
      <c r="B67" s="94">
        <v>7.5</v>
      </c>
      <c r="C67" s="25">
        <v>20.95</v>
      </c>
      <c r="D67" s="35">
        <v>7.5</v>
      </c>
      <c r="E67" s="41">
        <v>9.3000000000000007</v>
      </c>
      <c r="F67" s="41">
        <v>6.94</v>
      </c>
      <c r="G67" s="35">
        <v>8.43</v>
      </c>
      <c r="H67" s="19">
        <v>13.6</v>
      </c>
    </row>
    <row r="68" spans="1:8" ht="29" x14ac:dyDescent="0.35">
      <c r="A68" s="105" t="s">
        <v>261</v>
      </c>
      <c r="B68" s="94">
        <f>4.592199+18.360139+0.217354+1.695311+0.1+50+0.2</f>
        <v>75.165002999999999</v>
      </c>
      <c r="C68" s="40">
        <f>4.85+1.26+9.44+0.182495</f>
        <v>15.732494999999998</v>
      </c>
      <c r="D68" s="35">
        <v>0.25</v>
      </c>
      <c r="E68" s="21">
        <f>0.3+25.8+2.77+1.8+0.3</f>
        <v>30.970000000000002</v>
      </c>
      <c r="F68" s="46">
        <v>2.1</v>
      </c>
      <c r="G68" s="35">
        <f>3.098379</f>
        <v>3.098379</v>
      </c>
      <c r="H68" s="40">
        <f>0.5+6.67+2.74+0.182+1.84</f>
        <v>11.932</v>
      </c>
    </row>
    <row r="69" spans="1:8" x14ac:dyDescent="0.35">
      <c r="A69" s="105"/>
    </row>
    <row r="70" spans="1:8" x14ac:dyDescent="0.35">
      <c r="A70" s="79" t="s">
        <v>184</v>
      </c>
      <c r="B70" s="80" t="s">
        <v>185</v>
      </c>
    </row>
    <row r="71" spans="1:8" ht="26" x14ac:dyDescent="0.35">
      <c r="A71" s="107"/>
      <c r="B71" s="133" t="s">
        <v>304</v>
      </c>
    </row>
    <row r="72" spans="1:8" x14ac:dyDescent="0.35">
      <c r="B72" s="19"/>
    </row>
    <row r="73" spans="1:8" x14ac:dyDescent="0.35">
      <c r="A73" s="134"/>
      <c r="B73" s="86"/>
    </row>
  </sheetData>
  <phoneticPr fontId="14" type="noConversion"/>
  <hyperlinks>
    <hyperlink ref="C51" r:id="rId1" display="Early access"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249977111117893"/>
  </sheetPr>
  <dimension ref="A1:L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sheetView>
  </sheetViews>
  <sheetFormatPr defaultRowHeight="14.5" x14ac:dyDescent="0.35"/>
  <cols>
    <col min="1" max="1" width="34.81640625" customWidth="1"/>
    <col min="2" max="2" width="31" style="19" customWidth="1"/>
    <col min="3" max="3" width="45.1796875" style="8" customWidth="1"/>
    <col min="4" max="4" width="82" customWidth="1"/>
    <col min="5" max="5" width="116.54296875" customWidth="1"/>
    <col min="12" max="12" width="125.1796875" customWidth="1"/>
  </cols>
  <sheetData>
    <row r="1" spans="1:11" s="161" customFormat="1" ht="15.5" x14ac:dyDescent="0.35">
      <c r="A1" s="159" t="s">
        <v>14</v>
      </c>
      <c r="B1" s="160" t="s">
        <v>15</v>
      </c>
      <c r="C1" s="160" t="s">
        <v>18</v>
      </c>
      <c r="D1" s="160" t="s">
        <v>16</v>
      </c>
      <c r="E1" s="330"/>
      <c r="F1" s="330"/>
      <c r="G1" s="330"/>
      <c r="H1" s="330"/>
      <c r="I1" s="330"/>
      <c r="J1" s="330"/>
      <c r="K1" s="330"/>
    </row>
    <row r="2" spans="1:11" x14ac:dyDescent="0.35">
      <c r="A2" s="97" t="str">
        <f>Overview!A2</f>
        <v>A. BACKGROUND INFORMATION</v>
      </c>
      <c r="B2" s="3"/>
      <c r="C2" s="15"/>
      <c r="D2" s="10"/>
    </row>
    <row r="3" spans="1:11" ht="27.65" customHeight="1" x14ac:dyDescent="0.35">
      <c r="A3" s="4" t="str">
        <f>Overview!A3</f>
        <v>Population (2019)</v>
      </c>
      <c r="B3" s="7">
        <f>Overview!B3</f>
        <v>900000</v>
      </c>
      <c r="C3" s="12" t="s">
        <v>174</v>
      </c>
      <c r="D3" s="10"/>
    </row>
    <row r="4" spans="1:11" ht="39.65" customHeight="1" x14ac:dyDescent="0.35">
      <c r="A4" s="4" t="str">
        <f>Overview!A4</f>
        <v>GDP (2019) - in 2019 million USD</v>
      </c>
      <c r="B4" s="7">
        <f>Overview!B4</f>
        <v>5500</v>
      </c>
      <c r="C4" s="12" t="s">
        <v>174</v>
      </c>
      <c r="D4" s="10"/>
    </row>
    <row r="5" spans="1:11" ht="39.65" customHeight="1" x14ac:dyDescent="0.35">
      <c r="A5" s="4" t="str">
        <f>Overview!A5</f>
        <v>GDP per capita (2019)</v>
      </c>
      <c r="B5" s="7">
        <f>Overview!B5</f>
        <v>6023</v>
      </c>
      <c r="C5" s="12" t="s">
        <v>174</v>
      </c>
      <c r="D5" s="10"/>
    </row>
    <row r="6" spans="1:11" ht="41.15" customHeight="1" x14ac:dyDescent="0.35">
      <c r="A6" s="4" t="str">
        <f>Overview!A6</f>
        <v>Exchange rate (22July 2020) - LCU per USD</v>
      </c>
      <c r="B6" s="34">
        <f>Overview!B6</f>
        <v>2.13</v>
      </c>
      <c r="C6" s="1" t="s">
        <v>87</v>
      </c>
      <c r="D6" s="8" t="s">
        <v>278</v>
      </c>
    </row>
    <row r="7" spans="1:11" ht="61" customHeight="1" x14ac:dyDescent="0.35">
      <c r="A7" s="4" t="str">
        <f>Overview!A7</f>
        <v>Fiscal balance (LCU million, 2020, pre-pandemic)</v>
      </c>
      <c r="B7" s="34">
        <f>Overview!B7</f>
        <v>-349.2</v>
      </c>
      <c r="C7" s="26" t="s">
        <v>421</v>
      </c>
      <c r="D7" s="1" t="s">
        <v>422</v>
      </c>
    </row>
    <row r="8" spans="1:11" ht="134.5" customHeight="1" x14ac:dyDescent="0.35">
      <c r="A8" s="4" t="str">
        <f>Overview!A8</f>
        <v>Fiscal balance ( % of GDP, 2020, pre-pandemic)</v>
      </c>
      <c r="B8" s="88">
        <f>Overview!B8</f>
        <v>-2.7E-2</v>
      </c>
      <c r="C8" s="26" t="s">
        <v>421</v>
      </c>
      <c r="D8" s="13" t="s">
        <v>422</v>
      </c>
    </row>
    <row r="9" spans="1:11" ht="52.5" customHeight="1" x14ac:dyDescent="0.35">
      <c r="A9" s="4" t="str">
        <f>Overview!A9</f>
        <v>Debt (% GDP) (pre-COVID)</v>
      </c>
      <c r="B9" s="129">
        <f>Overview!B9</f>
        <v>0.47099999999999997</v>
      </c>
      <c r="C9" s="26" t="s">
        <v>321</v>
      </c>
      <c r="D9" s="13" t="s">
        <v>420</v>
      </c>
    </row>
    <row r="10" spans="1:11" ht="65.150000000000006" customHeight="1" x14ac:dyDescent="0.35">
      <c r="A10" s="4" t="str">
        <f>Overview!A10</f>
        <v>Local currency unit (LCU)</v>
      </c>
      <c r="B10" s="6" t="str">
        <f>Overview!B10</f>
        <v>Fijian dollar</v>
      </c>
      <c r="C10" s="12"/>
      <c r="D10" s="13"/>
    </row>
    <row r="11" spans="1:11" ht="65.150000000000006" customHeight="1" x14ac:dyDescent="0.35">
      <c r="A11" s="4" t="str">
        <f>Overview!A11</f>
        <v>Fiscal year</v>
      </c>
      <c r="B11" s="6" t="str">
        <f>Overview!B11</f>
        <v>August to July</v>
      </c>
      <c r="C11" s="13"/>
    </row>
    <row r="12" spans="1:11" ht="65.150000000000006" customHeight="1" x14ac:dyDescent="0.35">
      <c r="A12" s="4" t="str">
        <f>Overview!A12</f>
        <v>Announcement month</v>
      </c>
      <c r="B12" s="6" t="str">
        <f>Overview!B12</f>
        <v>Mar 2020</v>
      </c>
      <c r="C12" s="12" t="s">
        <v>150</v>
      </c>
      <c r="D12" s="13" t="s">
        <v>408</v>
      </c>
    </row>
    <row r="13" spans="1:11" ht="25" customHeight="1" x14ac:dyDescent="0.35">
      <c r="A13" s="97" t="str">
        <f>Overview!A13</f>
        <v>B. ECONOMIC IMPACT</v>
      </c>
      <c r="B13" s="7">
        <f>Overview!B13</f>
        <v>0</v>
      </c>
      <c r="C13" s="12"/>
      <c r="D13" s="13"/>
    </row>
    <row r="14" spans="1:11" ht="62.5" customHeight="1" x14ac:dyDescent="0.35">
      <c r="A14" s="4" t="str">
        <f>Overview!A14</f>
        <v>Projected growth - pre-COVID</v>
      </c>
      <c r="B14" s="129">
        <f>Overview!B14</f>
        <v>0.03</v>
      </c>
      <c r="C14" s="26" t="s">
        <v>151</v>
      </c>
      <c r="D14" s="13" t="s">
        <v>152</v>
      </c>
    </row>
    <row r="15" spans="1:11" ht="59.15" customHeight="1" x14ac:dyDescent="0.35">
      <c r="A15" s="4" t="str">
        <f>Overview!A15</f>
        <v>Projected growth - post-COVID</v>
      </c>
      <c r="B15" s="129">
        <f>Overview!B15</f>
        <v>-0.20899999999999999</v>
      </c>
      <c r="C15" s="26" t="s">
        <v>222</v>
      </c>
      <c r="D15" s="15" t="s">
        <v>640</v>
      </c>
    </row>
    <row r="16" spans="1:11" ht="69.650000000000006" customHeight="1" x14ac:dyDescent="0.35">
      <c r="A16" s="4" t="str">
        <f>Overview!A16</f>
        <v>GDP (2020) - current prices (LCU million) - pre COVID</v>
      </c>
      <c r="B16" s="162">
        <f>Overview!B16</f>
        <v>12984.2</v>
      </c>
      <c r="C16" s="13" t="s">
        <v>461</v>
      </c>
      <c r="D16" s="15" t="s">
        <v>460</v>
      </c>
    </row>
    <row r="17" spans="1:4" ht="74.5" customHeight="1" x14ac:dyDescent="0.35">
      <c r="A17" s="4" t="str">
        <f>Overview!A17</f>
        <v>GDP (2020) - current prices (LCU million)- post COVID</v>
      </c>
      <c r="B17" s="162">
        <f>Overview!B17</f>
        <v>9255.1</v>
      </c>
      <c r="C17" s="13" t="s">
        <v>222</v>
      </c>
      <c r="D17" s="15" t="s">
        <v>459</v>
      </c>
    </row>
    <row r="18" spans="1:4" ht="63" customHeight="1" x14ac:dyDescent="0.35">
      <c r="A18" s="4" t="str">
        <f>Overview!A18</f>
        <v>Projected revenue - pre-COVID (in million LCU)</v>
      </c>
      <c r="B18" s="7">
        <f>Overview!B18</f>
        <v>3491.7</v>
      </c>
      <c r="C18" s="26" t="s">
        <v>150</v>
      </c>
      <c r="D18" s="13" t="s">
        <v>509</v>
      </c>
    </row>
    <row r="19" spans="1:4" ht="76" customHeight="1" x14ac:dyDescent="0.35">
      <c r="A19" s="4" t="str">
        <f>Overview!A19</f>
        <v>Projected revenue - post-COVID (in million LCU)</v>
      </c>
      <c r="B19" s="7">
        <f>Overview!B19</f>
        <v>2507.6</v>
      </c>
      <c r="C19" s="26" t="s">
        <v>150</v>
      </c>
      <c r="D19" s="13" t="s">
        <v>153</v>
      </c>
    </row>
    <row r="20" spans="1:4" ht="58.5" customHeight="1" x14ac:dyDescent="0.35">
      <c r="A20" s="4" t="str">
        <f>Overview!A20</f>
        <v>Fall in domestic revenue as % of domestic revenue</v>
      </c>
      <c r="B20" s="129">
        <f>Overview!B20</f>
        <v>0.28295810690359124</v>
      </c>
      <c r="C20" s="26" t="s">
        <v>150</v>
      </c>
      <c r="D20" s="13" t="s">
        <v>455</v>
      </c>
    </row>
    <row r="21" spans="1:4" ht="55" customHeight="1" x14ac:dyDescent="0.35">
      <c r="A21" s="4" t="str">
        <f>Overview!A21</f>
        <v>Debt (% GDP) (post-COVID)</v>
      </c>
      <c r="B21" s="129">
        <f>Overview!B21</f>
        <v>0.60899999999999999</v>
      </c>
      <c r="C21" s="62" t="s">
        <v>321</v>
      </c>
      <c r="D21" s="13" t="s">
        <v>454</v>
      </c>
    </row>
    <row r="22" spans="1:4" ht="67" customHeight="1" x14ac:dyDescent="0.35">
      <c r="A22" s="4" t="str">
        <f>Overview!A22</f>
        <v>Risk of external debt distress (pre-COVID)</v>
      </c>
      <c r="B22" s="90" t="str">
        <f>Overview!B22</f>
        <v>NA</v>
      </c>
      <c r="C22" s="62"/>
      <c r="D22" s="13"/>
    </row>
    <row r="23" spans="1:4" ht="67" customHeight="1" x14ac:dyDescent="0.35">
      <c r="A23" s="4" t="str">
        <f>Overview!A23</f>
        <v>Risk of external debt distress (post-COVID)</v>
      </c>
      <c r="B23" s="90" t="str">
        <f>Overview!B23</f>
        <v>NA</v>
      </c>
      <c r="C23" s="62"/>
      <c r="D23" s="13"/>
    </row>
    <row r="24" spans="1:4" ht="42.65" customHeight="1" x14ac:dyDescent="0.35">
      <c r="A24" s="97" t="str">
        <f>Overview!A24</f>
        <v>C. STIMULUS PACKAGE - OVERALL SIZE</v>
      </c>
      <c r="B24" s="7">
        <f>Overview!B24</f>
        <v>0</v>
      </c>
      <c r="C24" s="15"/>
      <c r="D24" s="10"/>
    </row>
    <row r="25" spans="1:4" ht="363" customHeight="1" x14ac:dyDescent="0.35">
      <c r="A25" s="4" t="str">
        <f>Overview!A25</f>
        <v>Stimulus Package (in million LCU)</v>
      </c>
      <c r="B25" s="7">
        <f>Overview!B25</f>
        <v>1000</v>
      </c>
      <c r="C25" s="13" t="s">
        <v>130</v>
      </c>
      <c r="D25" s="1" t="s">
        <v>132</v>
      </c>
    </row>
    <row r="26" spans="1:4" ht="36.65" customHeight="1" x14ac:dyDescent="0.35">
      <c r="A26" s="4" t="str">
        <f>Overview!A26</f>
        <v>Stimulus Package (in million USD)</v>
      </c>
      <c r="B26" s="7">
        <f>Overview!B26</f>
        <v>469.48356807511738</v>
      </c>
      <c r="C26" s="13" t="s">
        <v>291</v>
      </c>
      <c r="D26" s="13" t="s">
        <v>641</v>
      </c>
    </row>
    <row r="27" spans="1:4" ht="51" customHeight="1" x14ac:dyDescent="0.35">
      <c r="A27" s="4" t="str">
        <f>Overview!A27</f>
        <v>Stimulus Package (% GDP)</v>
      </c>
      <c r="B27" s="129">
        <f>Overview!B27</f>
        <v>8.5360648740930425E-2</v>
      </c>
      <c r="C27" s="13" t="s">
        <v>291</v>
      </c>
      <c r="D27" s="13" t="s">
        <v>642</v>
      </c>
    </row>
    <row r="28" spans="1:4" ht="34" customHeight="1" x14ac:dyDescent="0.35">
      <c r="A28" s="3" t="str">
        <f>Overview!A28</f>
        <v>Stimulus per capita (USD per capita)</v>
      </c>
      <c r="B28" s="7">
        <f>Overview!B28</f>
        <v>521.64840897235263</v>
      </c>
      <c r="C28" s="15" t="s">
        <v>291</v>
      </c>
      <c r="D28" s="15" t="s">
        <v>643</v>
      </c>
    </row>
    <row r="29" spans="1:4" x14ac:dyDescent="0.35">
      <c r="A29" s="98" t="str">
        <f>Overview!A29</f>
        <v>D. FISCAL POLICY</v>
      </c>
      <c r="B29" s="7"/>
      <c r="C29" s="15"/>
      <c r="D29" s="10"/>
    </row>
    <row r="30" spans="1:4" x14ac:dyDescent="0.35">
      <c r="A30" s="101" t="str">
        <f>Overview!A30</f>
        <v>D1. TAX</v>
      </c>
      <c r="B30" s="7"/>
      <c r="C30" s="15"/>
      <c r="D30" s="10"/>
    </row>
    <row r="31" spans="1:4" ht="43.5" customHeight="1" x14ac:dyDescent="0.35">
      <c r="A31" s="3" t="str">
        <f>Overview!A31</f>
        <v>Tax deadline extension</v>
      </c>
      <c r="B31" s="7" t="str">
        <f>Overview!B31</f>
        <v>Yes</v>
      </c>
      <c r="C31" s="13" t="s">
        <v>42</v>
      </c>
      <c r="D31" s="13" t="s">
        <v>35</v>
      </c>
    </row>
    <row r="32" spans="1:4" ht="54.65" customHeight="1" x14ac:dyDescent="0.35">
      <c r="A32" s="3" t="str">
        <f>Overview!A32</f>
        <v>Priority processing of GST refunds</v>
      </c>
      <c r="B32" s="7" t="str">
        <f>Overview!B32</f>
        <v>No</v>
      </c>
      <c r="C32" s="13" t="s">
        <v>42</v>
      </c>
      <c r="D32" s="13" t="s">
        <v>601</v>
      </c>
    </row>
    <row r="33" spans="1:12" ht="231.65" customHeight="1" x14ac:dyDescent="0.35">
      <c r="A33" s="3" t="str">
        <f>Overview!A33</f>
        <v>Tax cuts</v>
      </c>
      <c r="B33" s="7" t="str">
        <f>Overview!B33</f>
        <v>Yes</v>
      </c>
      <c r="C33" s="13" t="s">
        <v>42</v>
      </c>
      <c r="D33" s="13" t="s">
        <v>131</v>
      </c>
    </row>
    <row r="34" spans="1:12" ht="35.5" customHeight="1" x14ac:dyDescent="0.35">
      <c r="A34" s="101" t="str">
        <f>Overview!A34</f>
        <v xml:space="preserve">D2. EXPENDITURE </v>
      </c>
      <c r="B34" s="7"/>
    </row>
    <row r="35" spans="1:12" ht="211" customHeight="1" x14ac:dyDescent="0.35">
      <c r="A35" s="4" t="str">
        <f>Overview!A35</f>
        <v>Additional expenditure (in million LCU)</v>
      </c>
      <c r="B35" s="7">
        <f>Overview!B35</f>
        <v>100</v>
      </c>
      <c r="C35" s="12" t="s">
        <v>130</v>
      </c>
      <c r="D35" s="13" t="s">
        <v>579</v>
      </c>
      <c r="L35" s="51"/>
    </row>
    <row r="36" spans="1:12" ht="69.650000000000006" customHeight="1" x14ac:dyDescent="0.35">
      <c r="A36" s="4" t="str">
        <f>Overview!A36</f>
        <v>Unemployment/cash benefits</v>
      </c>
      <c r="B36" s="6" t="str">
        <f>Overview!B36</f>
        <v>Yes</v>
      </c>
      <c r="C36" s="1" t="s">
        <v>150</v>
      </c>
      <c r="D36" s="8" t="s">
        <v>292</v>
      </c>
    </row>
    <row r="37" spans="1:12" ht="39.65" customHeight="1" x14ac:dyDescent="0.35">
      <c r="A37" s="4" t="str">
        <f>Overview!A37</f>
        <v>Expenditure (in million USD)</v>
      </c>
      <c r="B37" s="7">
        <f>Overview!B37</f>
        <v>46.948356807511736</v>
      </c>
      <c r="C37" s="12" t="s">
        <v>291</v>
      </c>
      <c r="D37" s="13" t="s">
        <v>602</v>
      </c>
    </row>
    <row r="38" spans="1:12" ht="54.65" customHeight="1" x14ac:dyDescent="0.35">
      <c r="A38" s="4" t="str">
        <f>Overview!A38</f>
        <v>Health expenditure (in million USD)</v>
      </c>
      <c r="B38" s="34">
        <f>Overview!B38</f>
        <v>18.78</v>
      </c>
      <c r="C38" s="12" t="s">
        <v>150</v>
      </c>
      <c r="D38" s="13" t="s">
        <v>305</v>
      </c>
    </row>
    <row r="39" spans="1:12" ht="51" customHeight="1" x14ac:dyDescent="0.35">
      <c r="A39" s="4" t="str">
        <f>Overview!A39</f>
        <v>Food security expenditure (in million USD)</v>
      </c>
      <c r="B39" s="34">
        <f>Overview!B39</f>
        <v>0.47</v>
      </c>
      <c r="C39" s="12" t="s">
        <v>150</v>
      </c>
      <c r="D39" s="13" t="s">
        <v>309</v>
      </c>
    </row>
    <row r="40" spans="1:12" ht="112" customHeight="1" x14ac:dyDescent="0.35">
      <c r="A40" s="4" t="str">
        <f>Overview!A40</f>
        <v>Safety net expenditure (in million USD)</v>
      </c>
      <c r="B40" s="34">
        <f>Overview!B40</f>
        <v>9.67</v>
      </c>
      <c r="C40" s="12" t="s">
        <v>150</v>
      </c>
      <c r="D40" s="13" t="s">
        <v>625</v>
      </c>
    </row>
    <row r="41" spans="1:12" ht="64.5" customHeight="1" x14ac:dyDescent="0.35">
      <c r="A41" s="4" t="str">
        <f>Overview!A41</f>
        <v>Business support expenditure (in million USD)</v>
      </c>
      <c r="B41" s="34">
        <f>Overview!B41</f>
        <v>2.347417840375587</v>
      </c>
      <c r="C41" s="12" t="s">
        <v>150</v>
      </c>
      <c r="D41" s="13" t="s">
        <v>581</v>
      </c>
    </row>
    <row r="42" spans="1:12" ht="27" customHeight="1" x14ac:dyDescent="0.35">
      <c r="A42" s="4" t="str">
        <f>Overview!A42</f>
        <v>Infrastructure expenditure (in million USD)</v>
      </c>
      <c r="B42" s="34">
        <f>Overview!B42</f>
        <v>0</v>
      </c>
      <c r="C42" s="12" t="s">
        <v>603</v>
      </c>
      <c r="D42" s="13" t="s">
        <v>603</v>
      </c>
    </row>
    <row r="43" spans="1:12" ht="26.15" customHeight="1" x14ac:dyDescent="0.35">
      <c r="A43" s="4" t="str">
        <f>Overview!A43</f>
        <v>Expenditure (% GDP)</v>
      </c>
      <c r="B43" s="7">
        <f>Overview!B43</f>
        <v>7.701668181328075E-3</v>
      </c>
      <c r="C43" s="12" t="s">
        <v>291</v>
      </c>
      <c r="D43" s="13" t="s">
        <v>291</v>
      </c>
    </row>
    <row r="44" spans="1:12" ht="28.5" customHeight="1" x14ac:dyDescent="0.35">
      <c r="A44" s="4" t="str">
        <f>Overview!A44</f>
        <v>Expenditure per capita (USD per capita)</v>
      </c>
      <c r="B44" s="7">
        <f>Overview!B44</f>
        <v>52.164840897235266</v>
      </c>
      <c r="C44" s="12" t="s">
        <v>291</v>
      </c>
      <c r="D44" s="13" t="s">
        <v>291</v>
      </c>
    </row>
    <row r="45" spans="1:12" ht="22" customHeight="1" x14ac:dyDescent="0.35">
      <c r="A45" s="101" t="str">
        <f>Overview!A45</f>
        <v>D3. FINANCING</v>
      </c>
      <c r="B45" s="6" t="str">
        <f>Overview!B45</f>
        <v>Yes</v>
      </c>
      <c r="C45" s="12"/>
      <c r="D45" s="13"/>
    </row>
    <row r="46" spans="1:12" ht="64.5" customHeight="1" x14ac:dyDescent="0.35">
      <c r="A46" s="4" t="str">
        <f>Overview!A46</f>
        <v>Additional borrowing (in million LCU)</v>
      </c>
      <c r="B46" s="7">
        <f>Overview!B46</f>
        <v>679.5</v>
      </c>
      <c r="C46" s="26" t="s">
        <v>150</v>
      </c>
      <c r="D46" s="13" t="s">
        <v>153</v>
      </c>
    </row>
    <row r="47" spans="1:12" ht="63" customHeight="1" x14ac:dyDescent="0.35">
      <c r="A47" s="4" t="str">
        <f>Overview!A47</f>
        <v>Projected deficit (in million LCU)</v>
      </c>
      <c r="B47" s="7">
        <f>Overview!B47</f>
        <v>1028.7</v>
      </c>
      <c r="C47" s="26" t="s">
        <v>150</v>
      </c>
      <c r="D47" s="13" t="s">
        <v>153</v>
      </c>
    </row>
    <row r="48" spans="1:12" ht="48.65" customHeight="1" x14ac:dyDescent="0.35">
      <c r="A48" s="4" t="str">
        <f>Overview!A48</f>
        <v>Fiscal balance (%GDP)</v>
      </c>
      <c r="B48" s="129">
        <f>Overview!B48</f>
        <v>-0.09</v>
      </c>
      <c r="C48" s="1" t="s">
        <v>321</v>
      </c>
      <c r="D48" s="13" t="s">
        <v>320</v>
      </c>
    </row>
    <row r="49" spans="1:4" ht="62.15" customHeight="1" x14ac:dyDescent="0.35">
      <c r="A49" s="97" t="str">
        <f>Overview!A49</f>
        <v>E.  SUPERANNUATION MEASURES</v>
      </c>
      <c r="B49" s="7">
        <f>Overview!B49</f>
        <v>0</v>
      </c>
    </row>
    <row r="50" spans="1:4" ht="59.5" customHeight="1" x14ac:dyDescent="0.35">
      <c r="A50" s="3" t="str">
        <f>Overview!A50</f>
        <v>Early access</v>
      </c>
      <c r="B50" s="7" t="str">
        <f>Overview!B50</f>
        <v>Yes</v>
      </c>
      <c r="C50" s="13" t="s">
        <v>44</v>
      </c>
      <c r="D50" s="13" t="s">
        <v>36</v>
      </c>
    </row>
    <row r="51" spans="1:4" ht="53.15" customHeight="1" x14ac:dyDescent="0.35">
      <c r="A51" s="3" t="str">
        <f>Overview!A51</f>
        <v>Deferred contributions</v>
      </c>
      <c r="B51" s="7" t="str">
        <f>Overview!B51</f>
        <v>Yes</v>
      </c>
      <c r="C51" s="13" t="s">
        <v>44</v>
      </c>
      <c r="D51" s="13" t="s">
        <v>37</v>
      </c>
    </row>
    <row r="52" spans="1:4" ht="26.15" customHeight="1" x14ac:dyDescent="0.35">
      <c r="A52" s="97" t="str">
        <f>Overview!A52</f>
        <v>F. BANK LENDING</v>
      </c>
      <c r="B52" s="7">
        <f>Overview!B52</f>
        <v>0</v>
      </c>
    </row>
    <row r="53" spans="1:4" ht="91.5" customHeight="1" x14ac:dyDescent="0.35">
      <c r="A53" s="3" t="str">
        <f>Overview!A53</f>
        <v>Credit line</v>
      </c>
      <c r="B53" s="7" t="str">
        <f>Overview!B53</f>
        <v>Yes</v>
      </c>
      <c r="C53" s="12" t="s">
        <v>40</v>
      </c>
      <c r="D53" s="13" t="s">
        <v>219</v>
      </c>
    </row>
    <row r="54" spans="1:4" ht="80.150000000000006" customHeight="1" x14ac:dyDescent="0.35">
      <c r="A54" s="3" t="str">
        <f>Overview!A54</f>
        <v>Loan repayment holiday</v>
      </c>
      <c r="B54" s="7" t="str">
        <f>Overview!B54</f>
        <v>Yes</v>
      </c>
      <c r="C54" s="12" t="s">
        <v>40</v>
      </c>
      <c r="D54" s="13" t="s">
        <v>133</v>
      </c>
    </row>
    <row r="55" spans="1:4" ht="32.5" customHeight="1" x14ac:dyDescent="0.35">
      <c r="A55" s="97" t="str">
        <f>Overview!A55</f>
        <v>G. MONETARY POLICY</v>
      </c>
      <c r="B55" s="7"/>
      <c r="C55" s="15"/>
      <c r="D55" s="10"/>
    </row>
    <row r="56" spans="1:4" ht="48.65" customHeight="1" x14ac:dyDescent="0.35">
      <c r="A56" s="4" t="str">
        <f>Overview!A56</f>
        <v>Monetary policy relaxed</v>
      </c>
      <c r="B56" s="7" t="str">
        <f>Overview!B56</f>
        <v>No</v>
      </c>
      <c r="C56" s="26" t="s">
        <v>42</v>
      </c>
      <c r="D56" s="15" t="s">
        <v>603</v>
      </c>
    </row>
    <row r="57" spans="1:4" ht="62.15" customHeight="1" x14ac:dyDescent="0.35">
      <c r="A57" s="3" t="str">
        <f>Overview!A57</f>
        <v>Cash Reserves requirement lowered</v>
      </c>
      <c r="B57" s="7" t="str">
        <f>Overview!B57</f>
        <v xml:space="preserve">No  </v>
      </c>
      <c r="C57" s="26" t="s">
        <v>42</v>
      </c>
      <c r="D57" s="8" t="s">
        <v>603</v>
      </c>
    </row>
    <row r="58" spans="1:4" ht="49" customHeight="1" x14ac:dyDescent="0.35">
      <c r="A58" s="3" t="str">
        <f>Overview!A58</f>
        <v>Discount rate lowered</v>
      </c>
      <c r="B58" s="136" t="str">
        <f>Overview!B58</f>
        <v>No (pre-existing overnight policy rate of 0.25%)</v>
      </c>
      <c r="C58" s="26" t="s">
        <v>42</v>
      </c>
      <c r="D58" s="15" t="s">
        <v>38</v>
      </c>
    </row>
    <row r="59" spans="1:4" ht="160" customHeight="1" x14ac:dyDescent="0.35">
      <c r="A59" s="3" t="str">
        <f>Overview!A59</f>
        <v>Open market purchases</v>
      </c>
      <c r="B59" s="7" t="str">
        <f>Overview!B59</f>
        <v>No</v>
      </c>
      <c r="C59" s="26" t="s">
        <v>42</v>
      </c>
      <c r="D59" s="8" t="s">
        <v>603</v>
      </c>
    </row>
    <row r="60" spans="1:4" ht="97.5" customHeight="1" x14ac:dyDescent="0.35">
      <c r="A60" s="98" t="str">
        <f>Overview!A60</f>
        <v>H. EXCHANGE RATE/RESERVES POLICY (depreciation/appreciation between 1 March 2020 and 22 July 2020)</v>
      </c>
      <c r="B60" s="230" t="str">
        <f>Overview!B60</f>
        <v>Tighter exchange controls; 
Fijian dollar has appreciated against USD by 4.2%.</v>
      </c>
      <c r="C60" s="13" t="s">
        <v>88</v>
      </c>
      <c r="D60" s="13" t="s">
        <v>231</v>
      </c>
    </row>
    <row r="61" spans="1:4" ht="36.65" customHeight="1" x14ac:dyDescent="0.35">
      <c r="A61" s="98" t="str">
        <f>Overview!A61</f>
        <v>I. EXTERNAL ASSISTANCE from outbreak to 12 August 2020 (in million USD)</v>
      </c>
      <c r="B61" s="93">
        <f>Overview!B61</f>
        <v>291.57500299999998</v>
      </c>
      <c r="C61" s="21" t="s">
        <v>291</v>
      </c>
      <c r="D61" s="15" t="s">
        <v>621</v>
      </c>
    </row>
    <row r="62" spans="1:4" ht="39" customHeight="1" x14ac:dyDescent="0.35">
      <c r="A62" s="72" t="str">
        <f>Overview!A62</f>
        <v>External assistance assumed at the time of the stimulus package (in million LCU)</v>
      </c>
      <c r="B62" s="93">
        <f>Overview!B62</f>
        <v>0</v>
      </c>
      <c r="C62" s="39" t="s">
        <v>604</v>
      </c>
      <c r="D62" s="15" t="s">
        <v>604</v>
      </c>
    </row>
    <row r="63" spans="1:4" ht="40" customHeight="1" x14ac:dyDescent="0.35">
      <c r="A63" s="4" t="str">
        <f>Overview!A63</f>
        <v>External assistance as % GDP</v>
      </c>
      <c r="B63" s="129">
        <f>Overview!B63</f>
        <v>4.7831576561513219E-2</v>
      </c>
      <c r="C63" s="8" t="s">
        <v>291</v>
      </c>
      <c r="D63" s="8" t="s">
        <v>605</v>
      </c>
    </row>
    <row r="64" spans="1:4" ht="155.5" customHeight="1" x14ac:dyDescent="0.35">
      <c r="A64" s="3" t="str">
        <f>Overview!A64</f>
        <v>ADB (in million USD)</v>
      </c>
      <c r="B64" s="7">
        <f>Overview!B64</f>
        <v>201.51</v>
      </c>
      <c r="C64" s="26" t="s">
        <v>1098</v>
      </c>
      <c r="D64" s="92" t="s">
        <v>297</v>
      </c>
    </row>
    <row r="65" spans="1:4" ht="163.5" customHeight="1" x14ac:dyDescent="0.35">
      <c r="A65" s="3" t="str">
        <f>Overview!A65</f>
        <v>World Bank (in million USD)</v>
      </c>
      <c r="B65" s="93">
        <f>Overview!B65</f>
        <v>7.4</v>
      </c>
      <c r="C65" s="21" t="s">
        <v>94</v>
      </c>
      <c r="D65" s="1" t="s">
        <v>296</v>
      </c>
    </row>
    <row r="66" spans="1:4" ht="50.15" customHeight="1" x14ac:dyDescent="0.35">
      <c r="A66" s="3" t="str">
        <f>Overview!A66</f>
        <v>IMF (in million USD)</v>
      </c>
      <c r="B66" s="7">
        <f>Overview!B66</f>
        <v>0</v>
      </c>
      <c r="C66" s="21" t="s">
        <v>94</v>
      </c>
      <c r="D66" s="92" t="s">
        <v>603</v>
      </c>
    </row>
    <row r="67" spans="1:4" ht="45.65" customHeight="1" x14ac:dyDescent="0.35">
      <c r="A67" s="3" t="str">
        <f>Overview!A67</f>
        <v>Assistance from Australia (in million USD)</v>
      </c>
      <c r="B67" s="93">
        <f>Overview!B67</f>
        <v>7.5</v>
      </c>
      <c r="C67" s="26" t="s">
        <v>94</v>
      </c>
      <c r="D67" s="92" t="s">
        <v>283</v>
      </c>
    </row>
    <row r="68" spans="1:4" ht="290" x14ac:dyDescent="0.35">
      <c r="A68" s="3" t="str">
        <f>Overview!A68</f>
        <v>Assistance from other countries and organisations (in million USD)</v>
      </c>
      <c r="B68" s="7">
        <f>Overview!B68</f>
        <v>75.165002999999999</v>
      </c>
      <c r="C68" s="21" t="s">
        <v>94</v>
      </c>
      <c r="D68" s="1" t="s">
        <v>324</v>
      </c>
    </row>
    <row r="69" spans="1:4" x14ac:dyDescent="0.35">
      <c r="A69" s="3"/>
    </row>
    <row r="70" spans="1:4" x14ac:dyDescent="0.35">
      <c r="A70" s="79"/>
      <c r="B70" s="80"/>
    </row>
    <row r="71" spans="1:4" x14ac:dyDescent="0.35">
      <c r="A71" s="85"/>
      <c r="B71" s="86"/>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9" tint="-0.249977111117893"/>
  </sheetPr>
  <dimension ref="A1:L71"/>
  <sheetViews>
    <sheetView zoomScale="80" zoomScaleNormal="80" zoomScaleSheetLayoutView="100" workbookViewId="0">
      <pane ySplit="1" topLeftCell="A36" activePane="bottomLeft" state="frozen"/>
      <selection activeCell="B31" sqref="B31"/>
      <selection pane="bottomLeft" activeCell="C38" sqref="C38"/>
    </sheetView>
  </sheetViews>
  <sheetFormatPr defaultRowHeight="14.5" x14ac:dyDescent="0.35"/>
  <cols>
    <col min="1" max="1" width="34.81640625" customWidth="1"/>
    <col min="2" max="2" width="37.1796875" style="19" customWidth="1"/>
    <col min="3" max="3" width="42.453125" customWidth="1"/>
    <col min="4" max="4" width="184.1796875" style="1" customWidth="1"/>
  </cols>
  <sheetData>
    <row r="1" spans="1:12" x14ac:dyDescent="0.35">
      <c r="A1" s="99" t="s">
        <v>14</v>
      </c>
      <c r="B1" s="100" t="s">
        <v>15</v>
      </c>
      <c r="C1" s="100" t="s">
        <v>18</v>
      </c>
      <c r="D1" s="328" t="s">
        <v>16</v>
      </c>
      <c r="E1" s="331"/>
      <c r="F1" s="331"/>
      <c r="G1" s="331"/>
      <c r="H1" s="331"/>
      <c r="I1" s="331"/>
      <c r="J1" s="331"/>
      <c r="K1" s="331"/>
      <c r="L1" s="116"/>
    </row>
    <row r="2" spans="1:12" x14ac:dyDescent="0.35">
      <c r="A2" s="97" t="str">
        <f>Overview!A2</f>
        <v>A. BACKGROUND INFORMATION</v>
      </c>
      <c r="B2" s="3"/>
      <c r="C2" s="5"/>
    </row>
    <row r="3" spans="1:12" ht="40" customHeight="1" x14ac:dyDescent="0.35">
      <c r="A3" s="4" t="str">
        <f>Overview!A3</f>
        <v>Population (2019)</v>
      </c>
      <c r="B3" s="7">
        <f>Overview!C3</f>
        <v>8800000</v>
      </c>
      <c r="C3" s="26" t="s">
        <v>174</v>
      </c>
      <c r="D3" s="1" t="s">
        <v>607</v>
      </c>
    </row>
    <row r="4" spans="1:12" ht="43" customHeight="1" x14ac:dyDescent="0.35">
      <c r="A4" s="4" t="str">
        <f>Overview!A4</f>
        <v>GDP (2019) - in 2019 million USD</v>
      </c>
      <c r="B4" s="34">
        <f>Overview!C4</f>
        <v>25000</v>
      </c>
      <c r="C4" s="1" t="s">
        <v>174</v>
      </c>
      <c r="D4" s="1" t="s">
        <v>607</v>
      </c>
    </row>
    <row r="5" spans="1:12" ht="47.15" customHeight="1" x14ac:dyDescent="0.35">
      <c r="A5" s="4" t="str">
        <f>Overview!A5</f>
        <v>GDP per capita (2019)</v>
      </c>
      <c r="B5" s="34">
        <f>Overview!C5</f>
        <v>2845</v>
      </c>
      <c r="C5" s="1" t="s">
        <v>174</v>
      </c>
      <c r="D5" s="1" t="s">
        <v>607</v>
      </c>
    </row>
    <row r="6" spans="1:12" ht="73" customHeight="1" x14ac:dyDescent="0.35">
      <c r="A6" s="4" t="str">
        <f>Overview!A6</f>
        <v>Exchange rate (22July 2020) - LCU per USD</v>
      </c>
      <c r="B6" s="34">
        <f>Overview!C6</f>
        <v>3.47</v>
      </c>
      <c r="C6" s="1" t="s">
        <v>87</v>
      </c>
      <c r="D6" s="1" t="s">
        <v>278</v>
      </c>
    </row>
    <row r="7" spans="1:12" ht="47.5" customHeight="1" x14ac:dyDescent="0.35">
      <c r="A7" s="4" t="str">
        <f>Overview!A7</f>
        <v>Fiscal balance (LCU million, 2020, pre-pandemic)</v>
      </c>
      <c r="B7" s="152">
        <f>Overview!C7</f>
        <v>-4631</v>
      </c>
      <c r="C7" s="1" t="s">
        <v>416</v>
      </c>
      <c r="D7" s="1" t="s">
        <v>662</v>
      </c>
    </row>
    <row r="8" spans="1:12" ht="47.15" customHeight="1" x14ac:dyDescent="0.35">
      <c r="A8" s="4" t="str">
        <f>Overview!A8</f>
        <v>Fiscal balance ( % of GDP, 2020, pre-pandemic)</v>
      </c>
      <c r="B8" s="88">
        <f>Overview!C8</f>
        <v>-0.05</v>
      </c>
      <c r="C8" s="1" t="s">
        <v>416</v>
      </c>
      <c r="D8" s="1" t="s">
        <v>417</v>
      </c>
      <c r="F8" s="132"/>
      <c r="G8" s="56"/>
    </row>
    <row r="9" spans="1:12" ht="64.5" customHeight="1" x14ac:dyDescent="0.35">
      <c r="A9" s="4" t="str">
        <f>Overview!A9</f>
        <v>Debt (% GDP) (pre-COVID)</v>
      </c>
      <c r="B9" s="28">
        <f>Overview!C9</f>
        <v>0.40300000000000002</v>
      </c>
      <c r="C9" s="26" t="s">
        <v>419</v>
      </c>
      <c r="D9" s="1" t="s">
        <v>418</v>
      </c>
    </row>
    <row r="10" spans="1:12" ht="42.65" customHeight="1" x14ac:dyDescent="0.35">
      <c r="A10" s="4" t="str">
        <f>Overview!A10</f>
        <v>Local currency unit (LCU)</v>
      </c>
      <c r="B10" s="28" t="str">
        <f>Overview!C10</f>
        <v>Papua New Guinean kina</v>
      </c>
      <c r="C10" s="26"/>
    </row>
    <row r="11" spans="1:12" ht="22" customHeight="1" x14ac:dyDescent="0.35">
      <c r="A11" s="4" t="str">
        <f>Overview!A11</f>
        <v>Fiscal year</v>
      </c>
      <c r="B11" s="28" t="str">
        <f>Overview!C11</f>
        <v>January to December</v>
      </c>
      <c r="C11" s="26" t="s">
        <v>243</v>
      </c>
    </row>
    <row r="12" spans="1:12" ht="53.15" customHeight="1" x14ac:dyDescent="0.35">
      <c r="A12" s="4" t="str">
        <f>Overview!A12</f>
        <v>Announcement month</v>
      </c>
      <c r="B12" s="28" t="str">
        <f>Overview!C12</f>
        <v>Apr 2020</v>
      </c>
      <c r="C12" s="26" t="s">
        <v>27</v>
      </c>
      <c r="D12" s="1" t="s">
        <v>409</v>
      </c>
    </row>
    <row r="13" spans="1:12" ht="32.5" customHeight="1" x14ac:dyDescent="0.35">
      <c r="A13" s="97" t="str">
        <f>Overview!A13</f>
        <v>B. ECONOMIC IMPACT</v>
      </c>
      <c r="B13" s="22"/>
      <c r="C13" s="26"/>
    </row>
    <row r="14" spans="1:12" ht="43" customHeight="1" x14ac:dyDescent="0.35">
      <c r="A14" s="4" t="str">
        <f>Overview!A14</f>
        <v>Projected growth - pre-COVID</v>
      </c>
      <c r="B14" s="28">
        <f>Overview!C14</f>
        <v>0.02</v>
      </c>
      <c r="C14" s="1" t="s">
        <v>416</v>
      </c>
      <c r="D14" s="1" t="s">
        <v>149</v>
      </c>
    </row>
    <row r="15" spans="1:12" ht="40.5" customHeight="1" x14ac:dyDescent="0.35">
      <c r="A15" s="4" t="str">
        <f>Overview!A15</f>
        <v>Projected growth - post-COVID</v>
      </c>
      <c r="B15" s="28">
        <f>Overview!C15</f>
        <v>-1.4999999999999999E-2</v>
      </c>
      <c r="C15" s="26" t="s">
        <v>206</v>
      </c>
      <c r="D15" s="13" t="s">
        <v>213</v>
      </c>
    </row>
    <row r="16" spans="1:12" ht="57" customHeight="1" x14ac:dyDescent="0.35">
      <c r="A16" s="4" t="str">
        <f>Overview!A16</f>
        <v>GDP (2020) - current prices (LCU million) - pre COVID</v>
      </c>
      <c r="B16" s="40">
        <f>Overview!C16</f>
        <v>92620</v>
      </c>
      <c r="C16" s="1" t="s">
        <v>416</v>
      </c>
      <c r="D16" s="13" t="s">
        <v>482</v>
      </c>
    </row>
    <row r="17" spans="1:4" ht="46.5" customHeight="1" x14ac:dyDescent="0.35">
      <c r="A17" s="4" t="str">
        <f>Overview!A17</f>
        <v>GDP (2020) - current prices (LCU million)- post COVID</v>
      </c>
      <c r="B17" s="40">
        <f>Overview!C17</f>
        <v>85448.75</v>
      </c>
      <c r="C17" s="26" t="s">
        <v>291</v>
      </c>
      <c r="D17" s="13" t="s">
        <v>483</v>
      </c>
    </row>
    <row r="18" spans="1:4" ht="60.65" customHeight="1" x14ac:dyDescent="0.35">
      <c r="A18" s="4" t="str">
        <f>Overview!A18</f>
        <v>Projected revenue - pre-COVID (in million LCU)</v>
      </c>
      <c r="B18" s="81">
        <f>Overview!C18</f>
        <v>14095.4</v>
      </c>
      <c r="C18" s="26" t="s">
        <v>148</v>
      </c>
      <c r="D18" s="2" t="s">
        <v>508</v>
      </c>
    </row>
    <row r="19" spans="1:4" ht="44.15" customHeight="1" x14ac:dyDescent="0.35">
      <c r="A19" s="4" t="str">
        <f>Overview!A19</f>
        <v>Projected revenue - post-COVID (in million LCU)</v>
      </c>
      <c r="B19" s="329">
        <f>Overview!C19</f>
        <v>12095.4</v>
      </c>
      <c r="C19" s="26" t="s">
        <v>146</v>
      </c>
      <c r="D19" s="1" t="s">
        <v>147</v>
      </c>
    </row>
    <row r="20" spans="1:4" ht="44.15" customHeight="1" x14ac:dyDescent="0.35">
      <c r="A20" s="4" t="str">
        <f>Overview!A20</f>
        <v>Fall in domestic revenue as % of domestic revenue</v>
      </c>
      <c r="B20" s="90">
        <f>Overview!C20</f>
        <v>0.15193758404047619</v>
      </c>
      <c r="C20" s="1" t="s">
        <v>416</v>
      </c>
      <c r="D20" s="1" t="s">
        <v>456</v>
      </c>
    </row>
    <row r="21" spans="1:4" ht="44.15" customHeight="1" x14ac:dyDescent="0.35">
      <c r="A21" s="4" t="str">
        <f>Overview!A21</f>
        <v>Debt (% GDP) (post-COVID)</v>
      </c>
      <c r="B21" s="55">
        <f>Overview!C21</f>
        <v>0.43682160359279687</v>
      </c>
      <c r="C21" s="62" t="s">
        <v>606</v>
      </c>
      <c r="D21" s="92" t="s">
        <v>672</v>
      </c>
    </row>
    <row r="22" spans="1:4" ht="81" customHeight="1" x14ac:dyDescent="0.35">
      <c r="A22" s="4" t="str">
        <f>Overview!A22</f>
        <v>Risk of external debt distress (pre-COVID)</v>
      </c>
      <c r="B22" s="55" t="str">
        <f>Overview!C22</f>
        <v>Moderate</v>
      </c>
      <c r="C22" s="62" t="s">
        <v>467</v>
      </c>
      <c r="D22" s="13" t="s">
        <v>480</v>
      </c>
    </row>
    <row r="23" spans="1:4" ht="60" customHeight="1" x14ac:dyDescent="0.35">
      <c r="A23" s="4" t="str">
        <f>Overview!A23</f>
        <v>Risk of external debt distress (post-COVID)</v>
      </c>
      <c r="B23" s="55" t="str">
        <f>Overview!C23</f>
        <v>High</v>
      </c>
      <c r="C23" s="62" t="s">
        <v>468</v>
      </c>
      <c r="D23" s="13" t="s">
        <v>481</v>
      </c>
    </row>
    <row r="24" spans="1:4" ht="28" customHeight="1" x14ac:dyDescent="0.35">
      <c r="A24" s="97" t="str">
        <f>Overview!A24</f>
        <v>C. STIMULUS PACKAGE - OVERALL SIZE</v>
      </c>
      <c r="B24" s="4"/>
      <c r="C24" s="5"/>
    </row>
    <row r="25" spans="1:4" ht="211.5" customHeight="1" x14ac:dyDescent="0.35">
      <c r="A25" s="4" t="str">
        <f>Overview!A25</f>
        <v>Stimulus Package (in million LCU)</v>
      </c>
      <c r="B25" s="45">
        <f>Overview!C25</f>
        <v>5700</v>
      </c>
      <c r="C25" s="26" t="s">
        <v>101</v>
      </c>
      <c r="D25" s="13" t="s">
        <v>134</v>
      </c>
    </row>
    <row r="26" spans="1:4" ht="103" customHeight="1" x14ac:dyDescent="0.35">
      <c r="A26" s="4" t="str">
        <f>Overview!A26</f>
        <v>Stimulus Package (in million USD)</v>
      </c>
      <c r="B26" s="40">
        <f>Overview!C26</f>
        <v>1642.651296829971</v>
      </c>
      <c r="C26" s="26" t="s">
        <v>291</v>
      </c>
      <c r="D26" s="13" t="s">
        <v>609</v>
      </c>
    </row>
    <row r="27" spans="1:4" x14ac:dyDescent="0.35">
      <c r="A27" s="4" t="str">
        <f>Overview!A27</f>
        <v>Stimulus Package (% GDP)</v>
      </c>
      <c r="B27" s="55">
        <f>Overview!C27</f>
        <v>6.5706051873198834E-2</v>
      </c>
      <c r="C27" s="26" t="s">
        <v>291</v>
      </c>
      <c r="D27" s="13" t="s">
        <v>608</v>
      </c>
    </row>
    <row r="28" spans="1:4" ht="18.649999999999999" customHeight="1" x14ac:dyDescent="0.35">
      <c r="A28" s="3" t="str">
        <f>Overview!A28</f>
        <v>Stimulus per capita (USD per capita)</v>
      </c>
      <c r="B28" s="71">
        <f>Overview!C28</f>
        <v>186.66492009431491</v>
      </c>
      <c r="C28" s="26" t="s">
        <v>291</v>
      </c>
      <c r="D28" s="13" t="s">
        <v>610</v>
      </c>
    </row>
    <row r="29" spans="1:4" ht="26.15" customHeight="1" x14ac:dyDescent="0.35">
      <c r="A29" s="98" t="str">
        <f>Overview!A29</f>
        <v>D. FISCAL POLICY</v>
      </c>
      <c r="B29" s="72"/>
    </row>
    <row r="30" spans="1:4" ht="24" customHeight="1" x14ac:dyDescent="0.35">
      <c r="A30" s="101" t="str">
        <f>Overview!A30</f>
        <v>D1. TAX</v>
      </c>
      <c r="B30" s="73"/>
    </row>
    <row r="31" spans="1:4" ht="139" customHeight="1" x14ac:dyDescent="0.35">
      <c r="A31" s="3" t="str">
        <f>Overview!A31</f>
        <v>Tax deadline extension</v>
      </c>
      <c r="B31" s="74" t="str">
        <f>Overview!C31</f>
        <v>Yes</v>
      </c>
      <c r="C31" s="1" t="s">
        <v>27</v>
      </c>
      <c r="D31" s="1" t="s">
        <v>28</v>
      </c>
    </row>
    <row r="32" spans="1:4" ht="55.5" customHeight="1" x14ac:dyDescent="0.35">
      <c r="A32" s="3" t="str">
        <f>Overview!A32</f>
        <v>Priority processing of GST refunds</v>
      </c>
      <c r="B32" s="74" t="str">
        <f>Overview!C32</f>
        <v>Yes</v>
      </c>
      <c r="C32" s="1" t="s">
        <v>27</v>
      </c>
      <c r="D32" s="1" t="s">
        <v>102</v>
      </c>
    </row>
    <row r="33" spans="1:4" ht="52.5" customHeight="1" x14ac:dyDescent="0.35">
      <c r="A33" s="3" t="str">
        <f>Overview!A33</f>
        <v>Tax cuts</v>
      </c>
      <c r="B33" s="74" t="str">
        <f>Overview!C33</f>
        <v>No</v>
      </c>
      <c r="C33" s="1" t="s">
        <v>603</v>
      </c>
      <c r="D33" s="1" t="s">
        <v>603</v>
      </c>
    </row>
    <row r="34" spans="1:4" ht="40" customHeight="1" x14ac:dyDescent="0.35">
      <c r="A34" s="101" t="str">
        <f>Overview!A34</f>
        <v xml:space="preserve">D2. EXPENDITURE </v>
      </c>
      <c r="B34" s="74"/>
    </row>
    <row r="35" spans="1:4" ht="409.5" customHeight="1" x14ac:dyDescent="0.35">
      <c r="A35" s="4" t="str">
        <f>Overview!A35</f>
        <v>Additional expenditure (in million LCU)</v>
      </c>
      <c r="B35" s="74">
        <f>Overview!C35</f>
        <v>600</v>
      </c>
      <c r="C35" s="1" t="s">
        <v>103</v>
      </c>
      <c r="D35" s="92" t="s">
        <v>576</v>
      </c>
    </row>
    <row r="36" spans="1:4" ht="66" customHeight="1" x14ac:dyDescent="0.35">
      <c r="A36" s="4" t="str">
        <f>Overview!A36</f>
        <v>Unemployment/cash benefits</v>
      </c>
      <c r="B36" s="74" t="str">
        <f>Overview!C36</f>
        <v>No</v>
      </c>
      <c r="C36" s="1" t="s">
        <v>603</v>
      </c>
      <c r="D36" s="1" t="s">
        <v>603</v>
      </c>
    </row>
    <row r="37" spans="1:4" ht="42" customHeight="1" x14ac:dyDescent="0.35">
      <c r="A37" s="4" t="str">
        <f>Overview!A37</f>
        <v>Expenditure (in million USD)</v>
      </c>
      <c r="B37" s="75">
        <f>Overview!C37</f>
        <v>172.91066282420749</v>
      </c>
      <c r="C37" s="1" t="s">
        <v>291</v>
      </c>
      <c r="D37" s="1" t="s">
        <v>611</v>
      </c>
    </row>
    <row r="38" spans="1:4" ht="347.15" customHeight="1" x14ac:dyDescent="0.35">
      <c r="A38" s="4" t="str">
        <f>Overview!A38</f>
        <v>Health expenditure (in million USD)</v>
      </c>
      <c r="B38" s="75">
        <f>Overview!C38</f>
        <v>36.599423631123919</v>
      </c>
      <c r="C38" s="1" t="s">
        <v>1099</v>
      </c>
      <c r="D38" s="1" t="s">
        <v>582</v>
      </c>
    </row>
    <row r="39" spans="1:4" ht="98.15" customHeight="1" x14ac:dyDescent="0.35">
      <c r="A39" s="4" t="str">
        <f>Overview!A39</f>
        <v>Food security expenditure (in million USD)</v>
      </c>
      <c r="B39" s="75">
        <f>Overview!C39</f>
        <v>46.97406340057637</v>
      </c>
      <c r="C39" s="1" t="s">
        <v>307</v>
      </c>
      <c r="D39" s="1" t="s">
        <v>306</v>
      </c>
    </row>
    <row r="40" spans="1:4" ht="42" customHeight="1" x14ac:dyDescent="0.35">
      <c r="A40" s="4" t="str">
        <f>Overview!A40</f>
        <v>Safety net expenditure (in million USD)</v>
      </c>
      <c r="B40" s="75">
        <f>Overview!C40</f>
        <v>0</v>
      </c>
      <c r="C40" s="1" t="s">
        <v>47</v>
      </c>
      <c r="D40" s="1" t="s">
        <v>47</v>
      </c>
    </row>
    <row r="41" spans="1:4" ht="100" customHeight="1" x14ac:dyDescent="0.35">
      <c r="A41" s="4" t="str">
        <f>Overview!A41</f>
        <v>Business support expenditure (in million USD)</v>
      </c>
      <c r="B41" s="75">
        <f>Overview!C41</f>
        <v>45.24</v>
      </c>
      <c r="C41" s="1" t="s">
        <v>307</v>
      </c>
      <c r="D41" s="1" t="s">
        <v>583</v>
      </c>
    </row>
    <row r="42" spans="1:4" ht="46.5" customHeight="1" x14ac:dyDescent="0.35">
      <c r="A42" s="4" t="str">
        <f>Overview!A42</f>
        <v>Infrastructure expenditure (in million USD)</v>
      </c>
      <c r="B42" s="75">
        <f>Overview!C42</f>
        <v>0</v>
      </c>
      <c r="C42" s="1" t="s">
        <v>47</v>
      </c>
      <c r="D42" s="1" t="s">
        <v>47</v>
      </c>
    </row>
    <row r="43" spans="1:4" ht="67.5" customHeight="1" x14ac:dyDescent="0.35">
      <c r="A43" s="4" t="str">
        <f>Overview!A43</f>
        <v>Expenditure (% GDP)</v>
      </c>
      <c r="B43" s="76">
        <f>Overview!C43</f>
        <v>6.4780824875836753E-3</v>
      </c>
      <c r="C43" s="1" t="s">
        <v>308</v>
      </c>
      <c r="D43" s="1" t="s">
        <v>308</v>
      </c>
    </row>
    <row r="44" spans="1:4" ht="50.15" customHeight="1" x14ac:dyDescent="0.35">
      <c r="A44" s="4" t="str">
        <f>Overview!A44</f>
        <v>Expenditure per capita (USD per capita)</v>
      </c>
      <c r="B44" s="40">
        <f>Overview!C44</f>
        <v>19.648938957296306</v>
      </c>
      <c r="C44" s="1" t="s">
        <v>308</v>
      </c>
      <c r="D44" s="1" t="s">
        <v>308</v>
      </c>
    </row>
    <row r="45" spans="1:4" ht="87" customHeight="1" x14ac:dyDescent="0.35">
      <c r="A45" s="101" t="str">
        <f>Overview!A45</f>
        <v>D3. FINANCING</v>
      </c>
      <c r="B45" s="23" t="str">
        <f>Overview!C45</f>
        <v>Yes</v>
      </c>
      <c r="C45" s="26" t="s">
        <v>27</v>
      </c>
      <c r="D45" s="2" t="s">
        <v>77</v>
      </c>
    </row>
    <row r="46" spans="1:4" ht="47.5" customHeight="1" x14ac:dyDescent="0.35">
      <c r="A46" s="4" t="str">
        <f>Overview!A46</f>
        <v>Additional borrowing (in million LCU)</v>
      </c>
      <c r="B46" s="23" t="str">
        <f>Overview!C46</f>
        <v>4000*</v>
      </c>
      <c r="C46" s="26" t="s">
        <v>27</v>
      </c>
      <c r="D46" s="2" t="s">
        <v>670</v>
      </c>
    </row>
    <row r="47" spans="1:4" ht="49" customHeight="1" x14ac:dyDescent="0.35">
      <c r="A47" s="4" t="str">
        <f>Overview!A47</f>
        <v>Projected deficit (in million LCU)</v>
      </c>
      <c r="B47" s="23">
        <f>Overview!C47</f>
        <v>-4631</v>
      </c>
      <c r="C47" s="26"/>
      <c r="D47" s="2" t="s">
        <v>669</v>
      </c>
    </row>
    <row r="48" spans="1:4" x14ac:dyDescent="0.35">
      <c r="A48" s="4" t="str">
        <f>Overview!A48</f>
        <v>Fiscal balance (%GDP)</v>
      </c>
      <c r="B48" s="55">
        <f>Overview!C48</f>
        <v>-5.4196228733597626E-2</v>
      </c>
      <c r="C48" s="1"/>
      <c r="D48" s="1" t="s">
        <v>671</v>
      </c>
    </row>
    <row r="49" spans="1:4" x14ac:dyDescent="0.35">
      <c r="A49" s="97" t="str">
        <f>Overview!A49</f>
        <v>E.  SUPERANNUATION MEASURES</v>
      </c>
      <c r="B49" s="4"/>
      <c r="C49" s="1"/>
    </row>
    <row r="50" spans="1:4" ht="79.5" customHeight="1" x14ac:dyDescent="0.35">
      <c r="A50" s="3" t="str">
        <f>Overview!A50</f>
        <v>Early access</v>
      </c>
      <c r="B50" s="74" t="str">
        <f>Overview!C50</f>
        <v>Yes (but delayed)</v>
      </c>
      <c r="C50" s="26" t="s">
        <v>674</v>
      </c>
      <c r="D50" s="1" t="s">
        <v>673</v>
      </c>
    </row>
    <row r="51" spans="1:4" ht="83.15" customHeight="1" x14ac:dyDescent="0.35">
      <c r="A51" s="3" t="str">
        <f>Overview!A51</f>
        <v>Deferred contributions</v>
      </c>
      <c r="B51" s="77" t="str">
        <f>Overview!C51</f>
        <v>No</v>
      </c>
      <c r="C51" s="1" t="s">
        <v>603</v>
      </c>
      <c r="D51" s="1" t="s">
        <v>603</v>
      </c>
    </row>
    <row r="52" spans="1:4" ht="21" customHeight="1" x14ac:dyDescent="0.35">
      <c r="A52" s="97" t="str">
        <f>Overview!A52</f>
        <v>F. BANK LENDING</v>
      </c>
      <c r="B52" s="78"/>
    </row>
    <row r="53" spans="1:4" ht="54.65" customHeight="1" x14ac:dyDescent="0.35">
      <c r="A53" s="3" t="str">
        <f>Overview!A53</f>
        <v>Credit line</v>
      </c>
      <c r="B53" s="36" t="str">
        <f>Overview!C53</f>
        <v>Yes</v>
      </c>
      <c r="C53" s="26" t="s">
        <v>27</v>
      </c>
      <c r="D53" s="1" t="s">
        <v>100</v>
      </c>
    </row>
    <row r="54" spans="1:4" ht="58.5" customHeight="1" x14ac:dyDescent="0.35">
      <c r="A54" s="3" t="str">
        <f>Overview!A54</f>
        <v>Loan repayment holiday</v>
      </c>
      <c r="B54" s="36" t="str">
        <f>Overview!C54</f>
        <v>Yes</v>
      </c>
      <c r="C54" s="1" t="s">
        <v>27</v>
      </c>
      <c r="D54" s="1" t="s">
        <v>29</v>
      </c>
    </row>
    <row r="55" spans="1:4" ht="23.15" customHeight="1" x14ac:dyDescent="0.35">
      <c r="A55" s="97" t="str">
        <f>Overview!A55</f>
        <v>G. MONETARY POLICY</v>
      </c>
      <c r="B55" s="36"/>
    </row>
    <row r="56" spans="1:4" ht="71.5" customHeight="1" x14ac:dyDescent="0.35">
      <c r="A56" s="4" t="str">
        <f>Overview!A56</f>
        <v>Monetary policy relaxed</v>
      </c>
      <c r="B56" s="36" t="str">
        <f>Overview!C56</f>
        <v>Yes</v>
      </c>
      <c r="C56" s="1" t="s">
        <v>33</v>
      </c>
      <c r="D56" s="1" t="s">
        <v>31</v>
      </c>
    </row>
    <row r="57" spans="1:4" ht="75" customHeight="1" x14ac:dyDescent="0.35">
      <c r="A57" s="3" t="str">
        <f>Overview!A57</f>
        <v>Cash Reserves requirement lowered</v>
      </c>
      <c r="B57" s="36" t="str">
        <f>Overview!C57</f>
        <v>Yes</v>
      </c>
      <c r="C57" s="1" t="s">
        <v>33</v>
      </c>
      <c r="D57" s="1" t="s">
        <v>30</v>
      </c>
    </row>
    <row r="58" spans="1:4" ht="58" x14ac:dyDescent="0.35">
      <c r="A58" s="3" t="str">
        <f>Overview!A58</f>
        <v>Discount rate lowered</v>
      </c>
      <c r="B58" s="36" t="str">
        <f>Overview!C58</f>
        <v>Yes</v>
      </c>
      <c r="C58" s="1" t="s">
        <v>33</v>
      </c>
      <c r="D58" s="1" t="s">
        <v>32</v>
      </c>
    </row>
    <row r="59" spans="1:4" ht="52" customHeight="1" x14ac:dyDescent="0.35">
      <c r="A59" s="3" t="str">
        <f>Overview!A59</f>
        <v>Open market purchases</v>
      </c>
      <c r="B59" s="36" t="str">
        <f>Overview!C59</f>
        <v>Yes</v>
      </c>
      <c r="C59" s="1" t="s">
        <v>34</v>
      </c>
    </row>
    <row r="60" spans="1:4" ht="63" customHeight="1" x14ac:dyDescent="0.35">
      <c r="A60" s="98" t="str">
        <f>Overview!A60</f>
        <v>H. EXCHANGE RATE/RESERVES POLICY (depreciation/appreciation between 1 March 2020 and 22 July 2020)</v>
      </c>
      <c r="B60" s="36" t="str">
        <f>Overview!C60</f>
        <v>PGK has depreciated against USD by 1.72%.</v>
      </c>
      <c r="C60" s="1" t="s">
        <v>87</v>
      </c>
      <c r="D60" s="1" t="s">
        <v>230</v>
      </c>
    </row>
    <row r="61" spans="1:4" ht="69.650000000000006" customHeight="1" x14ac:dyDescent="0.35">
      <c r="A61" s="98" t="str">
        <f>Overview!A61</f>
        <v>I. EXTERNAL ASSISTANCE from outbreak to 12 August 2020 (in million USD)</v>
      </c>
      <c r="B61" s="25">
        <f>Overview!C61</f>
        <v>424.73249499999997</v>
      </c>
      <c r="C61" s="26" t="s">
        <v>291</v>
      </c>
      <c r="D61" s="13" t="s">
        <v>621</v>
      </c>
    </row>
    <row r="62" spans="1:4" ht="66.650000000000006" customHeight="1" x14ac:dyDescent="0.35">
      <c r="A62" s="72" t="str">
        <f>Overview!A62</f>
        <v>External assistance assumed at the time of the stimulus package (in million LCU)</v>
      </c>
      <c r="B62" s="25">
        <f>Overview!C62</f>
        <v>1500</v>
      </c>
      <c r="C62" s="26" t="s">
        <v>515</v>
      </c>
      <c r="D62" s="1" t="s">
        <v>521</v>
      </c>
    </row>
    <row r="63" spans="1:4" ht="82" customHeight="1" x14ac:dyDescent="0.35">
      <c r="A63" s="4" t="str">
        <f>Overview!A63</f>
        <v>External assistance as % GDP</v>
      </c>
      <c r="B63" s="47">
        <f>Overview!C63</f>
        <v>1.5912564863420426E-2</v>
      </c>
      <c r="C63" s="26" t="s">
        <v>291</v>
      </c>
      <c r="D63" s="1" t="s">
        <v>605</v>
      </c>
    </row>
    <row r="64" spans="1:4" ht="164.5" customHeight="1" x14ac:dyDescent="0.35">
      <c r="A64" s="3" t="str">
        <f>Overview!A64</f>
        <v>ADB (in million USD)</v>
      </c>
      <c r="B64" s="12">
        <f>Overview!C64</f>
        <v>4.45</v>
      </c>
      <c r="C64" s="1" t="s">
        <v>286</v>
      </c>
      <c r="D64" s="1" t="s">
        <v>322</v>
      </c>
    </row>
    <row r="65" spans="1:4" ht="95.5" customHeight="1" x14ac:dyDescent="0.35">
      <c r="A65" s="3" t="str">
        <f>Overview!A65</f>
        <v>World Bank (in million USD)</v>
      </c>
      <c r="B65" s="6">
        <f>Overview!C65</f>
        <v>20</v>
      </c>
      <c r="C65" s="66" t="s">
        <v>179</v>
      </c>
      <c r="D65" s="1" t="s">
        <v>182</v>
      </c>
    </row>
    <row r="66" spans="1:4" ht="89.15" customHeight="1" x14ac:dyDescent="0.35">
      <c r="A66" s="3" t="str">
        <f>Overview!A66</f>
        <v>IMF (in million USD)</v>
      </c>
      <c r="B66" s="19">
        <f>Overview!C66</f>
        <v>363.6</v>
      </c>
      <c r="C66" s="26" t="s">
        <v>180</v>
      </c>
      <c r="D66" s="1" t="s">
        <v>181</v>
      </c>
    </row>
    <row r="67" spans="1:4" ht="149.5" customHeight="1" x14ac:dyDescent="0.35">
      <c r="A67" s="3" t="str">
        <f>Overview!A67</f>
        <v>Assistance from Australia (in million USD)</v>
      </c>
      <c r="B67" s="25">
        <f>Overview!C67</f>
        <v>20.95</v>
      </c>
      <c r="C67" s="26" t="s">
        <v>1097</v>
      </c>
      <c r="D67" s="1" t="s">
        <v>276</v>
      </c>
    </row>
    <row r="68" spans="1:4" ht="208" customHeight="1" x14ac:dyDescent="0.35">
      <c r="A68" s="3" t="str">
        <f>Overview!A68</f>
        <v>Assistance from other countries and organisations (in million USD)</v>
      </c>
      <c r="B68" s="23">
        <f>Overview!C68</f>
        <v>15.732494999999998</v>
      </c>
      <c r="C68" s="1" t="s">
        <v>1100</v>
      </c>
      <c r="D68" s="1" t="s">
        <v>323</v>
      </c>
    </row>
    <row r="69" spans="1:4" ht="128.15" customHeight="1" x14ac:dyDescent="0.35">
      <c r="A69" s="3"/>
    </row>
    <row r="70" spans="1:4" x14ac:dyDescent="0.35">
      <c r="A70" s="79" t="str">
        <f>Overview!A70</f>
        <v>Notes</v>
      </c>
      <c r="B70" s="80" t="str">
        <f>Overview!B70</f>
        <v>NA: Not available</v>
      </c>
      <c r="C70" s="1"/>
    </row>
    <row r="71" spans="1:4" x14ac:dyDescent="0.35">
      <c r="A71" s="85"/>
      <c r="B71" s="86"/>
    </row>
  </sheetData>
  <phoneticPr fontId="14" type="noConversion"/>
  <hyperlinks>
    <hyperlink ref="C59" r:id="rId1" location="P" xr:uid="{00000000-0004-0000-0400-000000000000}"/>
    <hyperlink ref="C65" r:id="rId2" xr:uid="{00000000-0004-0000-0400-000001000000}"/>
  </hyperlinks>
  <pageMargins left="0.7" right="0.7" top="0.75" bottom="0.75" header="0.3" footer="0.3"/>
  <pageSetup paperSize="9" orientation="portrait" horizontalDpi="4294967293" verticalDpi="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9" tint="-0.249977111117893"/>
  </sheetPr>
  <dimension ref="A1:D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D36" sqref="D36"/>
    </sheetView>
  </sheetViews>
  <sheetFormatPr defaultRowHeight="14.5" x14ac:dyDescent="0.35"/>
  <cols>
    <col min="1" max="1" width="34.81640625" customWidth="1"/>
    <col min="2" max="2" width="25.54296875" style="19" customWidth="1"/>
    <col min="3" max="3" width="34.453125" style="63" customWidth="1"/>
    <col min="4" max="4" width="84.1796875" style="8" customWidth="1"/>
  </cols>
  <sheetData>
    <row r="1" spans="1:4" x14ac:dyDescent="0.35">
      <c r="A1" s="99" t="s">
        <v>14</v>
      </c>
      <c r="B1" s="100" t="s">
        <v>15</v>
      </c>
      <c r="C1" s="100" t="s">
        <v>18</v>
      </c>
      <c r="D1" s="100" t="s">
        <v>16</v>
      </c>
    </row>
    <row r="2" spans="1:4" x14ac:dyDescent="0.35">
      <c r="A2" s="97" t="str">
        <f>Overview!A2</f>
        <v>A. BACKGROUND INFORMATION</v>
      </c>
      <c r="B2" s="3"/>
      <c r="C2" s="61"/>
    </row>
    <row r="3" spans="1:4" ht="26" x14ac:dyDescent="0.35">
      <c r="A3" s="4" t="str">
        <f>Overview!A3</f>
        <v>Population (2019)</v>
      </c>
      <c r="B3" s="7">
        <f>Overview!D3</f>
        <v>200000</v>
      </c>
      <c r="C3" s="12" t="s">
        <v>174</v>
      </c>
    </row>
    <row r="4" spans="1:4" ht="26" x14ac:dyDescent="0.35">
      <c r="A4" s="4" t="str">
        <f>Overview!A4</f>
        <v>GDP (2019) - in 2019 million USD</v>
      </c>
      <c r="B4" s="34">
        <f>Overview!D4</f>
        <v>820</v>
      </c>
      <c r="C4" s="12" t="s">
        <v>174</v>
      </c>
    </row>
    <row r="5" spans="1:4" ht="26" x14ac:dyDescent="0.35">
      <c r="A5" s="4" t="str">
        <f>Overview!A5</f>
        <v>GDP per capita (2019)</v>
      </c>
      <c r="B5" s="34">
        <f>Overview!D5</f>
        <v>4184</v>
      </c>
      <c r="C5" s="12" t="s">
        <v>174</v>
      </c>
    </row>
    <row r="6" spans="1:4" ht="26.5" customHeight="1" x14ac:dyDescent="0.35">
      <c r="A6" s="4" t="str">
        <f>Overview!A6</f>
        <v>Exchange rate (22July 2020) - LCU per USD</v>
      </c>
      <c r="B6" s="34">
        <f>Overview!D6</f>
        <v>2.62</v>
      </c>
      <c r="C6" s="51" t="s">
        <v>87</v>
      </c>
      <c r="D6" s="8" t="s">
        <v>278</v>
      </c>
    </row>
    <row r="7" spans="1:4" ht="29.5" customHeight="1" x14ac:dyDescent="0.35">
      <c r="A7" s="4" t="str">
        <f>Overview!A7</f>
        <v>Fiscal balance (LCU million, 2020, pre-pandemic)</v>
      </c>
      <c r="B7" s="34">
        <f>Overview!D7</f>
        <v>-87</v>
      </c>
      <c r="C7" s="51" t="s">
        <v>158</v>
      </c>
      <c r="D7" s="8" t="s">
        <v>246</v>
      </c>
    </row>
    <row r="8" spans="1:4" ht="63.65" customHeight="1" x14ac:dyDescent="0.35">
      <c r="A8" s="4" t="str">
        <f>Overview!A8</f>
        <v>Fiscal balance ( % of GDP, 2020, pre-pandemic)</v>
      </c>
      <c r="B8" s="88">
        <f>Overview!D8</f>
        <v>-1.2E-2</v>
      </c>
      <c r="C8" s="26" t="s">
        <v>79</v>
      </c>
      <c r="D8" s="13" t="s">
        <v>428</v>
      </c>
    </row>
    <row r="9" spans="1:4" ht="54.65" customHeight="1" x14ac:dyDescent="0.35">
      <c r="A9" s="4" t="str">
        <f>Overview!A9</f>
        <v>Debt (% GDP) (pre-COVID)</v>
      </c>
      <c r="B9" s="28">
        <f>Overview!D9</f>
        <v>0.44</v>
      </c>
      <c r="C9" s="26" t="s">
        <v>79</v>
      </c>
      <c r="D9" s="13" t="s">
        <v>425</v>
      </c>
    </row>
    <row r="10" spans="1:4" ht="28" customHeight="1" x14ac:dyDescent="0.35">
      <c r="A10" s="4" t="str">
        <f>Overview!A10</f>
        <v>Local currency unit (LCU)</v>
      </c>
      <c r="B10" s="28" t="str">
        <f>Overview!D10</f>
        <v>Samoan tala</v>
      </c>
      <c r="C10" s="59"/>
      <c r="D10" s="15"/>
    </row>
    <row r="11" spans="1:4" ht="38.15" customHeight="1" x14ac:dyDescent="0.35">
      <c r="A11" s="4" t="str">
        <f>Overview!A11</f>
        <v>Fiscal year</v>
      </c>
      <c r="B11" s="28" t="str">
        <f>Overview!D11</f>
        <v>June to May</v>
      </c>
      <c r="C11" s="59" t="s">
        <v>238</v>
      </c>
      <c r="D11" s="15"/>
    </row>
    <row r="12" spans="1:4" ht="60.65" customHeight="1" x14ac:dyDescent="0.35">
      <c r="A12" s="4" t="str">
        <f>Overview!A12</f>
        <v>Announcement month</v>
      </c>
      <c r="B12" s="28" t="str">
        <f>Overview!D12</f>
        <v>Apr 2020</v>
      </c>
      <c r="C12" s="59" t="s">
        <v>54</v>
      </c>
      <c r="D12" s="15" t="s">
        <v>411</v>
      </c>
    </row>
    <row r="13" spans="1:4" x14ac:dyDescent="0.35">
      <c r="A13" s="97" t="str">
        <f>Overview!A13</f>
        <v>B. ECONOMIC IMPACT</v>
      </c>
      <c r="B13" s="22"/>
      <c r="C13" s="30"/>
      <c r="D13" s="15"/>
    </row>
    <row r="14" spans="1:4" ht="43.5" x14ac:dyDescent="0.35">
      <c r="A14" s="4" t="str">
        <f>Overview!A14</f>
        <v>Projected growth - pre-COVID</v>
      </c>
      <c r="B14" s="28">
        <f>Overview!D14</f>
        <v>4.9000000000000002E-2</v>
      </c>
      <c r="C14" s="26" t="s">
        <v>79</v>
      </c>
      <c r="D14" s="13" t="s">
        <v>428</v>
      </c>
    </row>
    <row r="15" spans="1:4" ht="77.150000000000006" customHeight="1" x14ac:dyDescent="0.35">
      <c r="A15" s="4" t="str">
        <f>Overview!A15</f>
        <v>Projected growth - post-COVID</v>
      </c>
      <c r="B15" s="28">
        <f>Overview!D15</f>
        <v>-3.3000000000000002E-2</v>
      </c>
      <c r="C15" s="26" t="s">
        <v>426</v>
      </c>
      <c r="D15" s="13" t="s">
        <v>429</v>
      </c>
    </row>
    <row r="16" spans="1:4" ht="58.5" customHeight="1" x14ac:dyDescent="0.35">
      <c r="A16" s="4" t="str">
        <f>Overview!A16</f>
        <v>GDP (2020) - current prices (LCU million) - pre COVID</v>
      </c>
      <c r="B16" s="40">
        <f>Overview!D16</f>
        <v>2414</v>
      </c>
      <c r="C16" s="26" t="s">
        <v>79</v>
      </c>
      <c r="D16" s="13" t="s">
        <v>484</v>
      </c>
    </row>
    <row r="17" spans="1:4" ht="77.150000000000006" customHeight="1" x14ac:dyDescent="0.35">
      <c r="A17" s="4" t="str">
        <f>Overview!A17</f>
        <v>GDP (2020) - current prices (LCU million)- post COVID</v>
      </c>
      <c r="B17" s="40">
        <f>Overview!D17</f>
        <v>2238</v>
      </c>
      <c r="C17" s="26" t="s">
        <v>426</v>
      </c>
      <c r="D17" s="13" t="s">
        <v>485</v>
      </c>
    </row>
    <row r="18" spans="1:4" ht="59.5" customHeight="1" x14ac:dyDescent="0.35">
      <c r="A18" s="4" t="str">
        <f>Overview!A18</f>
        <v>Projected revenue - pre-COVID (in million LCU)</v>
      </c>
      <c r="B18" s="40">
        <f>Overview!D18</f>
        <v>826.02590099999998</v>
      </c>
      <c r="C18" s="26" t="s">
        <v>158</v>
      </c>
      <c r="D18" s="13" t="s">
        <v>506</v>
      </c>
    </row>
    <row r="19" spans="1:4" ht="104.15" customHeight="1" x14ac:dyDescent="0.35">
      <c r="A19" s="4" t="str">
        <f>Overview!A19</f>
        <v>Projected revenue - post-COVID (in million LCU)</v>
      </c>
      <c r="B19" s="40">
        <f>Overview!D19</f>
        <v>813.52590099999998</v>
      </c>
      <c r="C19" s="26" t="s">
        <v>159</v>
      </c>
      <c r="D19" s="13" t="s">
        <v>451</v>
      </c>
    </row>
    <row r="20" spans="1:4" ht="83.5" customHeight="1" x14ac:dyDescent="0.35">
      <c r="A20" s="4" t="str">
        <f>Overview!A20</f>
        <v>Fall in domestic revenue as % of domestic revenue</v>
      </c>
      <c r="B20" s="90">
        <f>Overview!D20</f>
        <v>1.9338570874290414E-2</v>
      </c>
      <c r="C20" s="26" t="s">
        <v>158</v>
      </c>
      <c r="D20" s="13" t="s">
        <v>528</v>
      </c>
    </row>
    <row r="21" spans="1:4" ht="76.5" customHeight="1" x14ac:dyDescent="0.35">
      <c r="A21" s="4" t="str">
        <f>Overview!A21</f>
        <v>Debt (% GDP) (post-COVID)</v>
      </c>
      <c r="B21" s="55">
        <f>Overview!D21</f>
        <v>0.48</v>
      </c>
      <c r="C21" s="26" t="s">
        <v>426</v>
      </c>
      <c r="D21" s="13" t="s">
        <v>427</v>
      </c>
    </row>
    <row r="22" spans="1:4" ht="74.150000000000006" customHeight="1" x14ac:dyDescent="0.35">
      <c r="A22" s="4" t="str">
        <f>Overview!A22</f>
        <v>Risk of external debt distress (pre-COVID)</v>
      </c>
      <c r="B22" s="55" t="str">
        <f>Overview!D22</f>
        <v>High</v>
      </c>
      <c r="C22" s="26" t="s">
        <v>467</v>
      </c>
      <c r="D22" s="13" t="s">
        <v>480</v>
      </c>
    </row>
    <row r="23" spans="1:4" ht="52.5" customHeight="1" x14ac:dyDescent="0.35">
      <c r="A23" s="4" t="str">
        <f>Overview!A23</f>
        <v>Risk of external debt distress (post-COVID)</v>
      </c>
      <c r="B23" s="55" t="str">
        <f>Overview!D23</f>
        <v>High</v>
      </c>
      <c r="C23" s="163" t="s">
        <v>468</v>
      </c>
      <c r="D23" s="13" t="s">
        <v>481</v>
      </c>
    </row>
    <row r="24" spans="1:4" x14ac:dyDescent="0.35">
      <c r="A24" s="97" t="str">
        <f>Overview!A24</f>
        <v>C. STIMULUS PACKAGE - OVERALL SIZE</v>
      </c>
      <c r="B24" s="4"/>
      <c r="C24" s="61"/>
    </row>
    <row r="25" spans="1:4" ht="189" customHeight="1" x14ac:dyDescent="0.35">
      <c r="A25" s="4" t="str">
        <f>Overview!A25</f>
        <v>Stimulus Package (in million LCU)</v>
      </c>
      <c r="B25" s="45">
        <f>Overview!D25</f>
        <v>66.3</v>
      </c>
      <c r="C25" s="59" t="s">
        <v>1068</v>
      </c>
      <c r="D25" s="13" t="s">
        <v>1070</v>
      </c>
    </row>
    <row r="26" spans="1:4" ht="31.5" customHeight="1" x14ac:dyDescent="0.35">
      <c r="A26" s="4" t="str">
        <f>Overview!A26</f>
        <v>Stimulus Package (in million USD)</v>
      </c>
      <c r="B26" s="40">
        <f>Overview!D26</f>
        <v>25.305343511450381</v>
      </c>
      <c r="C26" s="59" t="s">
        <v>291</v>
      </c>
      <c r="D26" s="13" t="s">
        <v>612</v>
      </c>
    </row>
    <row r="27" spans="1:4" ht="21.65" customHeight="1" x14ac:dyDescent="0.35">
      <c r="A27" s="4" t="str">
        <f>Overview!A27</f>
        <v>Stimulus Package (% GDP)</v>
      </c>
      <c r="B27" s="55">
        <f>Overview!D27</f>
        <v>3.0860175013963879E-2</v>
      </c>
      <c r="C27" s="59" t="s">
        <v>291</v>
      </c>
      <c r="D27" s="13" t="s">
        <v>608</v>
      </c>
    </row>
    <row r="28" spans="1:4" ht="35.5" customHeight="1" x14ac:dyDescent="0.35">
      <c r="A28" s="3" t="str">
        <f>Overview!A28</f>
        <v>Stimulus per capita (USD per capita)</v>
      </c>
      <c r="B28" s="71">
        <f>Overview!D28</f>
        <v>126.5267175572519</v>
      </c>
      <c r="C28" s="61" t="s">
        <v>291</v>
      </c>
      <c r="D28" s="8" t="s">
        <v>610</v>
      </c>
    </row>
    <row r="29" spans="1:4" x14ac:dyDescent="0.35">
      <c r="A29" s="98" t="str">
        <f>Overview!A29</f>
        <v>D. FISCAL POLICY</v>
      </c>
      <c r="B29" s="72"/>
      <c r="C29" s="61"/>
    </row>
    <row r="30" spans="1:4" x14ac:dyDescent="0.35">
      <c r="A30" s="101" t="str">
        <f>Overview!A30</f>
        <v>D1. TAX</v>
      </c>
      <c r="B30" s="73"/>
      <c r="C30" s="61"/>
    </row>
    <row r="31" spans="1:4" ht="39" x14ac:dyDescent="0.35">
      <c r="A31" s="3" t="str">
        <f>Overview!A31</f>
        <v>Tax deadline extension</v>
      </c>
      <c r="B31" s="74" t="str">
        <f>Overview!D31</f>
        <v>Yes</v>
      </c>
      <c r="C31" s="59" t="s">
        <v>54</v>
      </c>
      <c r="D31" s="13" t="s">
        <v>51</v>
      </c>
    </row>
    <row r="32" spans="1:4" x14ac:dyDescent="0.35">
      <c r="A32" s="3" t="str">
        <f>Overview!A32</f>
        <v>Priority processing of GST refunds</v>
      </c>
      <c r="B32" s="74" t="str">
        <f>Overview!D32</f>
        <v>No</v>
      </c>
      <c r="C32" s="61"/>
    </row>
    <row r="33" spans="1:4" ht="97" customHeight="1" x14ac:dyDescent="0.35">
      <c r="A33" s="3" t="str">
        <f>Overview!A33</f>
        <v>Tax cuts</v>
      </c>
      <c r="B33" s="74" t="str">
        <f>Overview!D33</f>
        <v>Yes</v>
      </c>
      <c r="C33" s="12" t="s">
        <v>54</v>
      </c>
      <c r="D33" s="13" t="s">
        <v>50</v>
      </c>
    </row>
    <row r="34" spans="1:4" ht="15" customHeight="1" x14ac:dyDescent="0.35">
      <c r="A34" s="101" t="str">
        <f>Overview!A34</f>
        <v xml:space="preserve">D2. EXPENDITURE </v>
      </c>
      <c r="B34" s="74"/>
      <c r="C34" s="59"/>
      <c r="D34" s="13"/>
    </row>
    <row r="35" spans="1:4" ht="86.15" customHeight="1" x14ac:dyDescent="0.35">
      <c r="A35" s="4" t="str">
        <f>Overview!A35</f>
        <v>Additional expenditure (in million LCU)</v>
      </c>
      <c r="B35" s="74">
        <f>Overview!D35</f>
        <v>38.4</v>
      </c>
      <c r="C35" s="26" t="s">
        <v>159</v>
      </c>
      <c r="D35" s="13" t="s">
        <v>452</v>
      </c>
    </row>
    <row r="36" spans="1:4" ht="52" customHeight="1" x14ac:dyDescent="0.35">
      <c r="A36" s="4" t="str">
        <f>Overview!A36</f>
        <v>Unemployment/cash benefits</v>
      </c>
      <c r="B36" s="74" t="str">
        <f>Overview!D36</f>
        <v>Yes</v>
      </c>
      <c r="C36" s="12" t="s">
        <v>8</v>
      </c>
      <c r="D36" s="13" t="s">
        <v>284</v>
      </c>
    </row>
    <row r="37" spans="1:4" ht="36.65" customHeight="1" x14ac:dyDescent="0.35">
      <c r="A37" s="4" t="str">
        <f>Overview!A37</f>
        <v>Expenditure (in million USD)</v>
      </c>
      <c r="B37" s="75">
        <f>Overview!D37</f>
        <v>14.65648854961832</v>
      </c>
      <c r="C37" s="59" t="s">
        <v>291</v>
      </c>
      <c r="D37" s="12" t="s">
        <v>291</v>
      </c>
    </row>
    <row r="38" spans="1:4" ht="78" customHeight="1" x14ac:dyDescent="0.35">
      <c r="A38" s="4" t="str">
        <f>Overview!A38</f>
        <v>Health expenditure (in million USD)</v>
      </c>
      <c r="B38" s="75">
        <f>Overview!D38</f>
        <v>7.75</v>
      </c>
      <c r="C38" s="59" t="s">
        <v>159</v>
      </c>
      <c r="D38" s="13" t="s">
        <v>310</v>
      </c>
    </row>
    <row r="39" spans="1:4" ht="49" customHeight="1" x14ac:dyDescent="0.35">
      <c r="A39" s="4" t="str">
        <f>Overview!A39</f>
        <v>Food security expenditure (in million USD)</v>
      </c>
      <c r="B39" s="75">
        <f>Overview!D39</f>
        <v>1.34</v>
      </c>
      <c r="C39" s="59" t="s">
        <v>159</v>
      </c>
      <c r="D39" s="13" t="s">
        <v>1088</v>
      </c>
    </row>
    <row r="40" spans="1:4" ht="88" customHeight="1" x14ac:dyDescent="0.35">
      <c r="A40" s="4" t="str">
        <f>Overview!A40</f>
        <v>Safety net expenditure (in million USD)</v>
      </c>
      <c r="B40" s="75">
        <f>Overview!D40</f>
        <v>1.1399999999999999</v>
      </c>
      <c r="C40" s="59" t="s">
        <v>159</v>
      </c>
      <c r="D40" s="13" t="s">
        <v>311</v>
      </c>
    </row>
    <row r="41" spans="1:4" ht="121" customHeight="1" x14ac:dyDescent="0.35">
      <c r="A41" s="4" t="str">
        <f>Overview!A41</f>
        <v>Business support expenditure (in million USD)</v>
      </c>
      <c r="B41" s="75">
        <f>Overview!D41</f>
        <v>1.1450381679389312</v>
      </c>
      <c r="C41" s="59" t="s">
        <v>159</v>
      </c>
      <c r="D41" s="13" t="s">
        <v>580</v>
      </c>
    </row>
    <row r="42" spans="1:4" ht="48" customHeight="1" x14ac:dyDescent="0.35">
      <c r="A42" s="4" t="str">
        <f>Overview!A42</f>
        <v>Infrastructure expenditure (in million USD)</v>
      </c>
      <c r="B42" s="75">
        <f>Overview!D42</f>
        <v>0</v>
      </c>
      <c r="C42" s="13" t="s">
        <v>603</v>
      </c>
      <c r="D42" s="13" t="s">
        <v>603</v>
      </c>
    </row>
    <row r="43" spans="1:4" ht="28" customHeight="1" x14ac:dyDescent="0.35">
      <c r="A43" s="4" t="str">
        <f>Overview!A43</f>
        <v>Expenditure (% GDP)</v>
      </c>
      <c r="B43" s="76">
        <f>Overview!D43</f>
        <v>1.5907207953603977E-2</v>
      </c>
      <c r="C43" s="59" t="s">
        <v>291</v>
      </c>
      <c r="D43" s="13" t="s">
        <v>638</v>
      </c>
    </row>
    <row r="44" spans="1:4" ht="26.15" customHeight="1" x14ac:dyDescent="0.35">
      <c r="A44" s="4" t="str">
        <f>Overview!A44</f>
        <v>Expenditure per capita (USD per capita)</v>
      </c>
      <c r="B44" s="40">
        <f>Overview!D44</f>
        <v>73.282442748091597</v>
      </c>
      <c r="C44" s="63" t="s">
        <v>291</v>
      </c>
      <c r="D44" s="8" t="s">
        <v>613</v>
      </c>
    </row>
    <row r="45" spans="1:4" ht="61.5" customHeight="1" x14ac:dyDescent="0.35">
      <c r="A45" s="101" t="str">
        <f>Overview!A45</f>
        <v>D3. FINANCING</v>
      </c>
      <c r="B45" s="23" t="str">
        <f>Overview!D45</f>
        <v>Yes</v>
      </c>
      <c r="C45" s="59" t="s">
        <v>54</v>
      </c>
      <c r="D45" s="13" t="s">
        <v>110</v>
      </c>
    </row>
    <row r="46" spans="1:4" ht="72" customHeight="1" x14ac:dyDescent="0.35">
      <c r="A46" s="4" t="str">
        <f>Overview!A46</f>
        <v>Additional borrowing (in million LCU)</v>
      </c>
      <c r="B46" s="23">
        <f>Overview!D46</f>
        <v>8.1</v>
      </c>
      <c r="C46" s="26" t="s">
        <v>159</v>
      </c>
      <c r="D46" s="13" t="s">
        <v>183</v>
      </c>
    </row>
    <row r="47" spans="1:4" ht="39" x14ac:dyDescent="0.35">
      <c r="A47" s="4" t="str">
        <f>Overview!A47</f>
        <v>Projected deficit (in million LCU)</v>
      </c>
      <c r="B47" s="23">
        <f>Overview!D47</f>
        <v>95</v>
      </c>
      <c r="C47" s="59" t="s">
        <v>245</v>
      </c>
      <c r="D47" s="13" t="s">
        <v>246</v>
      </c>
    </row>
    <row r="48" spans="1:4" ht="59.15" customHeight="1" x14ac:dyDescent="0.35">
      <c r="A48" s="4" t="str">
        <f>Overview!A48</f>
        <v>Fiscal balance (%GDP)</v>
      </c>
      <c r="B48" s="55">
        <f>Overview!D48</f>
        <v>-1.6E-2</v>
      </c>
      <c r="C48" s="26" t="s">
        <v>426</v>
      </c>
      <c r="D48" s="13" t="s">
        <v>429</v>
      </c>
    </row>
    <row r="49" spans="1:4" x14ac:dyDescent="0.35">
      <c r="A49" s="97" t="str">
        <f>Overview!A49</f>
        <v>E.  SUPERANNUATION MEASURES</v>
      </c>
      <c r="B49" s="4"/>
      <c r="C49" s="61"/>
    </row>
    <row r="50" spans="1:4" ht="53.5" customHeight="1" x14ac:dyDescent="0.35">
      <c r="A50" s="3" t="str">
        <f>Overview!A50</f>
        <v>Early access</v>
      </c>
      <c r="B50" s="74" t="str">
        <f>Overview!D50</f>
        <v>Yes</v>
      </c>
      <c r="C50" s="59" t="s">
        <v>54</v>
      </c>
      <c r="D50" s="13" t="s">
        <v>53</v>
      </c>
    </row>
    <row r="51" spans="1:4" ht="55.5" customHeight="1" x14ac:dyDescent="0.35">
      <c r="A51" s="3" t="str">
        <f>Overview!A51</f>
        <v>Deferred contributions</v>
      </c>
      <c r="B51" s="77" t="str">
        <f>Overview!D51</f>
        <v>Yes</v>
      </c>
      <c r="C51" s="59" t="s">
        <v>54</v>
      </c>
      <c r="D51" s="13" t="s">
        <v>52</v>
      </c>
    </row>
    <row r="52" spans="1:4" x14ac:dyDescent="0.35">
      <c r="A52" s="97" t="str">
        <f>Overview!A52</f>
        <v>F. BANK LENDING</v>
      </c>
      <c r="B52" s="78"/>
      <c r="C52" s="61"/>
    </row>
    <row r="53" spans="1:4" ht="62.5" customHeight="1" x14ac:dyDescent="0.35">
      <c r="A53" s="3" t="str">
        <f>Overview!A53</f>
        <v>Credit line</v>
      </c>
      <c r="B53" s="36" t="str">
        <f>Overview!D53</f>
        <v>Yes</v>
      </c>
      <c r="C53" s="59" t="s">
        <v>58</v>
      </c>
      <c r="D53" s="13" t="s">
        <v>57</v>
      </c>
    </row>
    <row r="54" spans="1:4" ht="47.5" customHeight="1" x14ac:dyDescent="0.35">
      <c r="A54" s="3" t="str">
        <f>Overview!A54</f>
        <v>Loan repayment holiday</v>
      </c>
      <c r="B54" s="36" t="str">
        <f>Overview!D54</f>
        <v>Yes</v>
      </c>
      <c r="C54" s="59" t="s">
        <v>58</v>
      </c>
      <c r="D54" s="13" t="s">
        <v>56</v>
      </c>
    </row>
    <row r="55" spans="1:4" x14ac:dyDescent="0.35">
      <c r="A55" s="97" t="str">
        <f>Overview!A55</f>
        <v>G. MONETARY POLICY</v>
      </c>
      <c r="B55" s="36"/>
      <c r="C55" s="61"/>
    </row>
    <row r="56" spans="1:4" ht="48.65" customHeight="1" x14ac:dyDescent="0.35">
      <c r="A56" s="4" t="str">
        <f>Overview!A56</f>
        <v>Monetary policy relaxed</v>
      </c>
      <c r="B56" s="36" t="str">
        <f>Overview!D56</f>
        <v>No (pre-existing monetary policy described as accommodating)</v>
      </c>
      <c r="C56" s="12" t="s">
        <v>176</v>
      </c>
      <c r="D56" s="13" t="s">
        <v>177</v>
      </c>
    </row>
    <row r="57" spans="1:4" x14ac:dyDescent="0.35">
      <c r="A57" s="3" t="str">
        <f>Overview!A57</f>
        <v>Cash Reserves requirement lowered</v>
      </c>
      <c r="B57" s="36" t="str">
        <f>Overview!D57</f>
        <v xml:space="preserve">No </v>
      </c>
      <c r="C57" s="61" t="s">
        <v>603</v>
      </c>
      <c r="D57" s="61" t="s">
        <v>603</v>
      </c>
    </row>
    <row r="58" spans="1:4" x14ac:dyDescent="0.35">
      <c r="A58" s="3" t="str">
        <f>Overview!A58</f>
        <v>Discount rate lowered</v>
      </c>
      <c r="B58" s="36" t="str">
        <f>Overview!D58</f>
        <v>No</v>
      </c>
      <c r="C58" s="61" t="s">
        <v>603</v>
      </c>
      <c r="D58" s="61" t="s">
        <v>603</v>
      </c>
    </row>
    <row r="59" spans="1:4" x14ac:dyDescent="0.35">
      <c r="A59" s="3" t="str">
        <f>Overview!A59</f>
        <v>Open market purchases</v>
      </c>
      <c r="B59" s="36" t="str">
        <f>Overview!D59</f>
        <v>No</v>
      </c>
      <c r="C59" s="61" t="s">
        <v>603</v>
      </c>
      <c r="D59" s="61" t="s">
        <v>603</v>
      </c>
    </row>
    <row r="60" spans="1:4" ht="62.5" customHeight="1" x14ac:dyDescent="0.35">
      <c r="A60" s="98" t="str">
        <f>Overview!A60</f>
        <v>H. EXCHANGE RATE/RESERVES POLICY (depreciation/appreciation between 1 March 2020 and 22 July 2020)</v>
      </c>
      <c r="B60" s="36" t="str">
        <f>Overview!D60</f>
        <v>No measures; 
Tala has appreciated against USD by 4.6%.</v>
      </c>
      <c r="C60" s="64" t="s">
        <v>87</v>
      </c>
      <c r="D60" s="13" t="s">
        <v>233</v>
      </c>
    </row>
    <row r="61" spans="1:4" ht="38.15" customHeight="1" x14ac:dyDescent="0.35">
      <c r="A61" s="98" t="str">
        <f>Overview!A61</f>
        <v>I. EXTERNAL ASSISTANCE from outbreak to 12 August 2020 (in million USD)</v>
      </c>
      <c r="B61" s="25">
        <f>Overview!D61</f>
        <v>63.620000000000005</v>
      </c>
      <c r="C61" s="62" t="s">
        <v>291</v>
      </c>
      <c r="D61" s="15" t="s">
        <v>621</v>
      </c>
    </row>
    <row r="62" spans="1:4" ht="48.65" customHeight="1" x14ac:dyDescent="0.35">
      <c r="A62" s="72" t="str">
        <f>Overview!A62</f>
        <v>External assistance assumed at the time of the stimulus package (in million LCU)</v>
      </c>
      <c r="B62" s="25">
        <f>Overview!D62</f>
        <v>40.799999999999997</v>
      </c>
      <c r="C62" s="59" t="s">
        <v>159</v>
      </c>
      <c r="D62" s="8" t="s">
        <v>458</v>
      </c>
    </row>
    <row r="63" spans="1:4" ht="38.15" customHeight="1" x14ac:dyDescent="0.35">
      <c r="A63" s="4" t="str">
        <f>Overview!A63</f>
        <v>External assistance as % GDP</v>
      </c>
      <c r="B63" s="47">
        <f>Overview!D63</f>
        <v>6.904904722452361E-2</v>
      </c>
      <c r="C63" s="64" t="s">
        <v>291</v>
      </c>
      <c r="D63" s="8" t="s">
        <v>605</v>
      </c>
    </row>
    <row r="64" spans="1:4" ht="155.5" customHeight="1" x14ac:dyDescent="0.35">
      <c r="A64" s="3" t="str">
        <f>Overview!A64</f>
        <v>ADB (in million USD)</v>
      </c>
      <c r="B64" s="12">
        <f>Overview!D64</f>
        <v>25.34</v>
      </c>
      <c r="C64" s="59" t="s">
        <v>287</v>
      </c>
      <c r="D64" s="13" t="s">
        <v>288</v>
      </c>
    </row>
    <row r="65" spans="1:4" ht="79" customHeight="1" x14ac:dyDescent="0.35">
      <c r="A65" s="3" t="str">
        <f>Overview!A65</f>
        <v>World Bank (in million USD)</v>
      </c>
      <c r="B65" s="6">
        <f>Overview!D65</f>
        <v>8.5</v>
      </c>
      <c r="C65" s="26" t="s">
        <v>198</v>
      </c>
      <c r="D65" s="13" t="s">
        <v>197</v>
      </c>
    </row>
    <row r="66" spans="1:4" ht="97" customHeight="1" x14ac:dyDescent="0.35">
      <c r="A66" s="3" t="str">
        <f>Overview!A66</f>
        <v>IMF (in million USD)</v>
      </c>
      <c r="B66" s="19">
        <f>Overview!D66</f>
        <v>22.03</v>
      </c>
      <c r="C66" s="59" t="s">
        <v>199</v>
      </c>
      <c r="D66" s="13" t="s">
        <v>200</v>
      </c>
    </row>
    <row r="67" spans="1:4" ht="70" customHeight="1" x14ac:dyDescent="0.35">
      <c r="A67" s="3" t="str">
        <f>Overview!A67</f>
        <v>Assistance from Australia (in million USD)</v>
      </c>
      <c r="B67" s="25">
        <f>Overview!D67</f>
        <v>7.5</v>
      </c>
      <c r="C67" s="62" t="s">
        <v>78</v>
      </c>
      <c r="D67" s="13" t="s">
        <v>280</v>
      </c>
    </row>
    <row r="68" spans="1:4" ht="69" customHeight="1" x14ac:dyDescent="0.35">
      <c r="A68" s="3" t="str">
        <f>Overview!A68</f>
        <v>Assistance from other countries and organisations (in million USD)</v>
      </c>
      <c r="B68" s="23">
        <f>Overview!D68</f>
        <v>0.25</v>
      </c>
      <c r="C68" s="59" t="s">
        <v>201</v>
      </c>
      <c r="D68" s="13" t="s">
        <v>253</v>
      </c>
    </row>
    <row r="69" spans="1:4" x14ac:dyDescent="0.35">
      <c r="A69" s="3"/>
      <c r="C69" s="65"/>
    </row>
    <row r="70" spans="1:4" x14ac:dyDescent="0.35">
      <c r="A70" s="79"/>
      <c r="B70" s="80"/>
    </row>
    <row r="71" spans="1:4" x14ac:dyDescent="0.35">
      <c r="A71" s="85"/>
      <c r="B71" s="86"/>
    </row>
  </sheetData>
  <phoneticPr fontId="14" type="noConversion"/>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A1:E71"/>
  <sheetViews>
    <sheetView zoomScale="80" zoomScaleNormal="80" workbookViewId="0">
      <pane xSplit="1" ySplit="1" topLeftCell="B32" activePane="bottomRight" state="frozen"/>
      <selection activeCell="B31" sqref="B31"/>
      <selection pane="topRight" activeCell="B31" sqref="B31"/>
      <selection pane="bottomLeft" activeCell="B31" sqref="B31"/>
      <selection pane="bottomRight" activeCell="L67" sqref="L67"/>
    </sheetView>
  </sheetViews>
  <sheetFormatPr defaultRowHeight="14.5" x14ac:dyDescent="0.35"/>
  <cols>
    <col min="1" max="1" width="34.81640625" customWidth="1"/>
    <col min="2" max="2" width="25.54296875" style="19" customWidth="1"/>
    <col min="3" max="3" width="44" style="15" customWidth="1"/>
    <col min="4" max="4" width="71.453125" style="15" customWidth="1"/>
  </cols>
  <sheetData>
    <row r="1" spans="1:4" x14ac:dyDescent="0.35">
      <c r="A1" s="99" t="s">
        <v>14</v>
      </c>
      <c r="B1" s="100" t="s">
        <v>15</v>
      </c>
      <c r="C1" s="100" t="s">
        <v>18</v>
      </c>
      <c r="D1" s="100" t="s">
        <v>16</v>
      </c>
    </row>
    <row r="2" spans="1:4" x14ac:dyDescent="0.35">
      <c r="A2" s="97" t="str">
        <f>Overview!A2</f>
        <v>A. BACKGROUND INFORMATION</v>
      </c>
      <c r="B2" s="3"/>
    </row>
    <row r="3" spans="1:4" ht="26" x14ac:dyDescent="0.35">
      <c r="A3" s="4" t="str">
        <f>Overview!A3</f>
        <v>Population (2019)</v>
      </c>
      <c r="B3" s="7">
        <f>Overview!E3</f>
        <v>600000</v>
      </c>
      <c r="C3" s="12" t="s">
        <v>174</v>
      </c>
    </row>
    <row r="4" spans="1:4" ht="26" x14ac:dyDescent="0.35">
      <c r="A4" s="4" t="str">
        <f>Overview!A4</f>
        <v>GDP (2019) - in 2019 million USD</v>
      </c>
      <c r="B4" s="34">
        <f>Overview!E4</f>
        <v>1500</v>
      </c>
      <c r="C4" s="12" t="s">
        <v>174</v>
      </c>
    </row>
    <row r="5" spans="1:4" ht="26" x14ac:dyDescent="0.35">
      <c r="A5" s="4" t="str">
        <f>Overview!A5</f>
        <v>GDP per capita (2019)</v>
      </c>
      <c r="B5" s="34">
        <f>Overview!E5</f>
        <v>2317</v>
      </c>
      <c r="C5" s="12" t="s">
        <v>174</v>
      </c>
    </row>
    <row r="6" spans="1:4" ht="32.15" customHeight="1" x14ac:dyDescent="0.35">
      <c r="A6" s="4" t="str">
        <f>Overview!A6</f>
        <v>Exchange rate (22July 2020) - LCU per USD</v>
      </c>
      <c r="B6" s="34">
        <f>Overview!E6</f>
        <v>8.16</v>
      </c>
      <c r="C6" s="13" t="s">
        <v>87</v>
      </c>
      <c r="D6" s="8" t="s">
        <v>278</v>
      </c>
    </row>
    <row r="7" spans="1:4" ht="58.5" customHeight="1" x14ac:dyDescent="0.35">
      <c r="A7" s="4" t="str">
        <f>Overview!A7</f>
        <v>Fiscal balance (LCU million, 2020, pre-pandemic)</v>
      </c>
      <c r="B7" s="152">
        <f>Overview!E7</f>
        <v>0</v>
      </c>
      <c r="C7" s="13" t="s">
        <v>160</v>
      </c>
      <c r="D7" s="8" t="s">
        <v>619</v>
      </c>
    </row>
    <row r="8" spans="1:4" ht="28" customHeight="1" x14ac:dyDescent="0.35">
      <c r="A8" s="4" t="str">
        <f>Overview!A8</f>
        <v>Fiscal balance ( % of GDP, 2020, pre-pandemic)</v>
      </c>
      <c r="B8" s="88">
        <f>Overview!E8</f>
        <v>0</v>
      </c>
      <c r="C8" s="12" t="s">
        <v>291</v>
      </c>
      <c r="D8" s="15" t="s">
        <v>620</v>
      </c>
    </row>
    <row r="9" spans="1:4" ht="40.5" customHeight="1" x14ac:dyDescent="0.35">
      <c r="A9" s="4" t="str">
        <f>Overview!A9</f>
        <v>Debt (% GDP) (pre-COVID)</v>
      </c>
      <c r="B9" s="28">
        <f>Overview!E9</f>
        <v>0.11</v>
      </c>
      <c r="C9" s="12" t="s">
        <v>163</v>
      </c>
      <c r="D9" s="13" t="s">
        <v>164</v>
      </c>
    </row>
    <row r="10" spans="1:4" ht="46" customHeight="1" x14ac:dyDescent="0.35">
      <c r="A10" s="4" t="str">
        <f>Overview!A10</f>
        <v>Local currency unit (LCU)</v>
      </c>
      <c r="B10" s="28" t="str">
        <f>Overview!E10</f>
        <v>Solomon Islands dollar</v>
      </c>
      <c r="C10" s="12"/>
      <c r="D10" s="13"/>
    </row>
    <row r="11" spans="1:4" ht="46" customHeight="1" x14ac:dyDescent="0.35">
      <c r="A11" s="4" t="str">
        <f>Overview!A11</f>
        <v>Fiscal year</v>
      </c>
      <c r="B11" s="28" t="str">
        <f>Overview!E11</f>
        <v>January to December</v>
      </c>
      <c r="C11" s="12" t="s">
        <v>239</v>
      </c>
      <c r="D11" s="13"/>
    </row>
    <row r="12" spans="1:4" ht="46" customHeight="1" x14ac:dyDescent="0.35">
      <c r="A12" s="4" t="str">
        <f>Overview!A12</f>
        <v>Announcement month</v>
      </c>
      <c r="B12" s="28" t="str">
        <f>Overview!E12</f>
        <v>May 2020</v>
      </c>
      <c r="C12" s="12" t="s">
        <v>165</v>
      </c>
      <c r="D12" s="13" t="s">
        <v>413</v>
      </c>
    </row>
    <row r="13" spans="1:4" ht="35.15" customHeight="1" x14ac:dyDescent="0.35">
      <c r="A13" s="97" t="str">
        <f>Overview!A13</f>
        <v>B. ECONOMIC IMPACT</v>
      </c>
      <c r="B13" s="22"/>
      <c r="C13" s="12"/>
      <c r="D13" s="13"/>
    </row>
    <row r="14" spans="1:4" ht="52.5" customHeight="1" x14ac:dyDescent="0.35">
      <c r="A14" s="4" t="str">
        <f>Overview!A14</f>
        <v>Projected growth - pre-COVID</v>
      </c>
      <c r="B14" s="28">
        <f>Overview!E14</f>
        <v>2.3E-2</v>
      </c>
      <c r="C14" s="26" t="s">
        <v>160</v>
      </c>
      <c r="D14" s="15" t="s">
        <v>430</v>
      </c>
    </row>
    <row r="15" spans="1:4" ht="42.65" customHeight="1" x14ac:dyDescent="0.35">
      <c r="A15" s="4" t="str">
        <f>Overview!A15</f>
        <v>Projected growth - post-COVID</v>
      </c>
      <c r="B15" s="28">
        <f>Overview!E15</f>
        <v>-0.06</v>
      </c>
      <c r="C15" s="26" t="s">
        <v>211</v>
      </c>
      <c r="D15" s="12" t="s">
        <v>212</v>
      </c>
    </row>
    <row r="16" spans="1:4" ht="42" customHeight="1" x14ac:dyDescent="0.35">
      <c r="A16" s="4" t="str">
        <f>Overview!A16</f>
        <v>GDP (2020) - current prices (LCU million) - pre COVID</v>
      </c>
      <c r="B16" s="40">
        <f>Overview!E16</f>
        <v>12521.519999999999</v>
      </c>
      <c r="C16" s="26" t="s">
        <v>291</v>
      </c>
      <c r="D16" s="12" t="s">
        <v>644</v>
      </c>
    </row>
    <row r="17" spans="1:5" ht="38.5" customHeight="1" x14ac:dyDescent="0.35">
      <c r="A17" s="4" t="str">
        <f>Overview!A17</f>
        <v>GDP (2020) - current prices (LCU million)- post COVID</v>
      </c>
      <c r="B17" s="40">
        <f>Overview!E17</f>
        <v>11505.599999999999</v>
      </c>
      <c r="C17" s="26" t="s">
        <v>291</v>
      </c>
      <c r="D17" s="12" t="s">
        <v>644</v>
      </c>
    </row>
    <row r="18" spans="1:5" ht="61.5" customHeight="1" x14ac:dyDescent="0.35">
      <c r="A18" s="4" t="str">
        <f>Overview!A18</f>
        <v>Projected revenue - pre-COVID (in million LCU)</v>
      </c>
      <c r="B18" s="81">
        <f>Overview!E18</f>
        <v>3941</v>
      </c>
      <c r="C18" s="12" t="s">
        <v>160</v>
      </c>
      <c r="D18" s="13" t="s">
        <v>507</v>
      </c>
    </row>
    <row r="19" spans="1:5" ht="66.650000000000006" customHeight="1" x14ac:dyDescent="0.35">
      <c r="A19" s="4" t="str">
        <f>Overview!A19</f>
        <v>Projected revenue - post-COVID (in million LCU)</v>
      </c>
      <c r="B19" s="81">
        <f>Overview!E19</f>
        <v>3751</v>
      </c>
      <c r="C19" s="12" t="s">
        <v>165</v>
      </c>
      <c r="D19" s="13" t="s">
        <v>453</v>
      </c>
      <c r="E19" s="56"/>
    </row>
    <row r="20" spans="1:5" ht="56.5" customHeight="1" x14ac:dyDescent="0.35">
      <c r="A20" s="4" t="str">
        <f>Overview!A20</f>
        <v>Fall in domestic revenue as % of domestic revenue</v>
      </c>
      <c r="B20" s="90">
        <f>Overview!E20</f>
        <v>5.3221288515406161E-2</v>
      </c>
      <c r="C20" s="26" t="s">
        <v>160</v>
      </c>
      <c r="D20" s="13" t="s">
        <v>527</v>
      </c>
      <c r="E20" s="56"/>
    </row>
    <row r="21" spans="1:5" ht="55" customHeight="1" x14ac:dyDescent="0.35">
      <c r="A21" s="4" t="str">
        <f>Overview!A21</f>
        <v>Debt (% GDP) (post-COVID)</v>
      </c>
      <c r="B21" s="55">
        <f>Overview!E21</f>
        <v>0.54680851063829783</v>
      </c>
      <c r="C21" s="62" t="s">
        <v>218</v>
      </c>
      <c r="D21" s="13" t="s">
        <v>217</v>
      </c>
    </row>
    <row r="22" spans="1:5" ht="55" customHeight="1" x14ac:dyDescent="0.35">
      <c r="A22" s="4" t="str">
        <f>Overview!A22</f>
        <v>Risk of external debt distress (pre-COVID)</v>
      </c>
      <c r="B22" s="55" t="str">
        <f>Overview!E22</f>
        <v>Moderate</v>
      </c>
      <c r="C22" s="62" t="s">
        <v>467</v>
      </c>
      <c r="D22" s="13" t="s">
        <v>480</v>
      </c>
    </row>
    <row r="23" spans="1:5" ht="55" customHeight="1" x14ac:dyDescent="0.35">
      <c r="A23" s="4" t="str">
        <f>Overview!A23</f>
        <v>Risk of external debt distress (post-COVID)</v>
      </c>
      <c r="B23" s="55" t="str">
        <f>Overview!E23</f>
        <v>Moderate</v>
      </c>
      <c r="C23" s="62" t="s">
        <v>468</v>
      </c>
      <c r="D23" s="13" t="s">
        <v>481</v>
      </c>
    </row>
    <row r="24" spans="1:5" x14ac:dyDescent="0.35">
      <c r="A24" s="97" t="str">
        <f>Overview!A24</f>
        <v>C. STIMULUS PACKAGE - OVERALL SIZE</v>
      </c>
      <c r="B24" s="4"/>
      <c r="C24" s="12"/>
    </row>
    <row r="25" spans="1:5" ht="75" customHeight="1" x14ac:dyDescent="0.35">
      <c r="A25" s="4" t="str">
        <f>Overview!A25</f>
        <v>Stimulus Package (in million LCU)</v>
      </c>
      <c r="B25" s="45">
        <f>Overview!E25</f>
        <v>448.7</v>
      </c>
      <c r="C25" s="26" t="s">
        <v>165</v>
      </c>
      <c r="D25" s="66" t="s">
        <v>1029</v>
      </c>
    </row>
    <row r="26" spans="1:5" ht="30.65" customHeight="1" x14ac:dyDescent="0.35">
      <c r="A26" s="4" t="str">
        <f>Overview!A26</f>
        <v>Stimulus Package (in million USD)</v>
      </c>
      <c r="B26" s="40">
        <f>Overview!E26</f>
        <v>54.987745098039213</v>
      </c>
      <c r="C26" s="12" t="s">
        <v>291</v>
      </c>
      <c r="D26" s="13" t="s">
        <v>616</v>
      </c>
    </row>
    <row r="27" spans="1:5" ht="30.65" customHeight="1" x14ac:dyDescent="0.35">
      <c r="A27" s="4" t="str">
        <f>Overview!A27</f>
        <v>Stimulus Package (% GDP)</v>
      </c>
      <c r="B27" s="55">
        <f>Overview!E27</f>
        <v>3.665849673202614E-2</v>
      </c>
      <c r="C27" s="12" t="s">
        <v>291</v>
      </c>
      <c r="D27" s="13" t="s">
        <v>617</v>
      </c>
    </row>
    <row r="28" spans="1:5" ht="35.5" customHeight="1" x14ac:dyDescent="0.35">
      <c r="A28" s="3" t="str">
        <f>Overview!A28</f>
        <v>Stimulus per capita (USD per capita)</v>
      </c>
      <c r="B28" s="71">
        <f>Overview!E28</f>
        <v>91.64624183006535</v>
      </c>
      <c r="C28" s="12" t="s">
        <v>291</v>
      </c>
      <c r="D28" s="13" t="s">
        <v>618</v>
      </c>
    </row>
    <row r="29" spans="1:5" x14ac:dyDescent="0.35">
      <c r="A29" s="98" t="str">
        <f>Overview!A29</f>
        <v>D. FISCAL POLICY</v>
      </c>
      <c r="B29" s="72"/>
    </row>
    <row r="30" spans="1:5" x14ac:dyDescent="0.35">
      <c r="A30" s="101" t="str">
        <f>Overview!A30</f>
        <v>D1. TAX</v>
      </c>
      <c r="B30" s="73"/>
    </row>
    <row r="31" spans="1:5" x14ac:dyDescent="0.35">
      <c r="A31" s="3" t="str">
        <f>Overview!A31</f>
        <v>Tax deadline extension</v>
      </c>
      <c r="B31" s="74" t="str">
        <f>Overview!E31</f>
        <v>No</v>
      </c>
      <c r="C31" s="15" t="s">
        <v>603</v>
      </c>
      <c r="D31" s="15" t="s">
        <v>603</v>
      </c>
    </row>
    <row r="32" spans="1:5" x14ac:dyDescent="0.35">
      <c r="A32" s="3" t="str">
        <f>Overview!A32</f>
        <v>Priority processing of GST refunds</v>
      </c>
      <c r="B32" s="74" t="str">
        <f>Overview!E32</f>
        <v>No</v>
      </c>
      <c r="C32" s="15" t="s">
        <v>603</v>
      </c>
      <c r="D32" s="15" t="s">
        <v>603</v>
      </c>
    </row>
    <row r="33" spans="1:4" ht="39" x14ac:dyDescent="0.35">
      <c r="A33" s="3" t="str">
        <f>Overview!A33</f>
        <v>Tax cuts</v>
      </c>
      <c r="B33" s="74" t="str">
        <f>Overview!E33</f>
        <v>Yes</v>
      </c>
      <c r="C33" s="12" t="s">
        <v>59</v>
      </c>
      <c r="D33" s="13" t="s">
        <v>64</v>
      </c>
    </row>
    <row r="34" spans="1:4" x14ac:dyDescent="0.35">
      <c r="A34" s="101" t="str">
        <f>Overview!A34</f>
        <v xml:space="preserve">D2. EXPENDITURE </v>
      </c>
      <c r="B34" s="73"/>
      <c r="C34" s="12"/>
      <c r="D34" s="13"/>
    </row>
    <row r="35" spans="1:4" ht="153.65" customHeight="1" x14ac:dyDescent="0.35">
      <c r="A35" s="4" t="str">
        <f>Overview!A35</f>
        <v>Additional expenditure (in million LCU)</v>
      </c>
      <c r="B35" s="74">
        <f>Overview!E35</f>
        <v>448.7</v>
      </c>
      <c r="C35" s="26" t="s">
        <v>168</v>
      </c>
      <c r="D35" s="13" t="s">
        <v>1030</v>
      </c>
    </row>
    <row r="36" spans="1:4" ht="49" customHeight="1" x14ac:dyDescent="0.35">
      <c r="A36" s="4" t="str">
        <f>Overview!A36</f>
        <v>Unemployment/cash benefits</v>
      </c>
      <c r="B36" s="74" t="str">
        <f>Overview!E36</f>
        <v>No</v>
      </c>
      <c r="C36" s="12" t="s">
        <v>165</v>
      </c>
      <c r="D36" s="13" t="s">
        <v>603</v>
      </c>
    </row>
    <row r="37" spans="1:4" ht="35.15" customHeight="1" x14ac:dyDescent="0.35">
      <c r="A37" s="4" t="str">
        <f>Overview!A37</f>
        <v>Expenditure (in million USD)</v>
      </c>
      <c r="B37" s="75">
        <f>Overview!E37</f>
        <v>54.987745098039213</v>
      </c>
      <c r="C37" s="12" t="s">
        <v>291</v>
      </c>
      <c r="D37" s="12" t="s">
        <v>611</v>
      </c>
    </row>
    <row r="38" spans="1:4" ht="49" customHeight="1" x14ac:dyDescent="0.35">
      <c r="A38" s="4" t="str">
        <f>Overview!A38</f>
        <v>Health expenditure (in million USD)</v>
      </c>
      <c r="B38" s="75">
        <f>Overview!E38</f>
        <v>1.2254901960784315</v>
      </c>
      <c r="C38" s="12" t="s">
        <v>165</v>
      </c>
      <c r="D38" s="12" t="s">
        <v>313</v>
      </c>
    </row>
    <row r="39" spans="1:4" ht="49" customHeight="1" x14ac:dyDescent="0.35">
      <c r="A39" s="4" t="str">
        <f>Overview!A39</f>
        <v>Food security expenditure (in million USD)</v>
      </c>
      <c r="B39" s="75">
        <f>Overview!E39</f>
        <v>8.5784313725490193</v>
      </c>
      <c r="C39" s="12" t="s">
        <v>165</v>
      </c>
      <c r="D39" s="13" t="s">
        <v>312</v>
      </c>
    </row>
    <row r="40" spans="1:4" ht="68.5" customHeight="1" x14ac:dyDescent="0.35">
      <c r="A40" s="4" t="str">
        <f>Overview!A40</f>
        <v>Safety net expenditure (in million USD)</v>
      </c>
      <c r="B40" s="75">
        <f>Overview!E40</f>
        <v>0.61274509803921573</v>
      </c>
      <c r="C40" s="12" t="s">
        <v>165</v>
      </c>
      <c r="D40" s="13" t="s">
        <v>1084</v>
      </c>
    </row>
    <row r="41" spans="1:4" ht="166.5" customHeight="1" x14ac:dyDescent="0.35">
      <c r="A41" s="4" t="str">
        <f>Overview!A41</f>
        <v>Business support expenditure (in million USD)</v>
      </c>
      <c r="B41" s="75">
        <f>Overview!E41</f>
        <v>8.3333333333333339</v>
      </c>
      <c r="C41" s="12" t="s">
        <v>165</v>
      </c>
      <c r="D41" s="13" t="s">
        <v>1086</v>
      </c>
    </row>
    <row r="42" spans="1:4" ht="93" customHeight="1" x14ac:dyDescent="0.35">
      <c r="A42" s="4" t="str">
        <f>Overview!A42</f>
        <v>Infrastructure expenditure (in million USD)</v>
      </c>
      <c r="B42" s="75">
        <f>Overview!E42</f>
        <v>11.029411764705882</v>
      </c>
      <c r="C42" s="12" t="s">
        <v>165</v>
      </c>
      <c r="D42" s="13" t="s">
        <v>1085</v>
      </c>
    </row>
    <row r="43" spans="1:4" x14ac:dyDescent="0.35">
      <c r="A43" s="4" t="str">
        <f>Overview!A43</f>
        <v>Expenditure (% GDP)</v>
      </c>
      <c r="B43" s="76">
        <f>Overview!E43</f>
        <v>3.5834307655939535E-2</v>
      </c>
      <c r="C43" s="16" t="s">
        <v>291</v>
      </c>
      <c r="D43" s="13" t="s">
        <v>614</v>
      </c>
    </row>
    <row r="44" spans="1:4" x14ac:dyDescent="0.35">
      <c r="A44" s="4" t="str">
        <f>Overview!A44</f>
        <v>Expenditure per capita (USD per capita)</v>
      </c>
      <c r="B44" s="40">
        <f>Overview!E44</f>
        <v>4.3914592715612174E-3</v>
      </c>
      <c r="C44" s="15" t="s">
        <v>291</v>
      </c>
      <c r="D44" s="15" t="s">
        <v>615</v>
      </c>
    </row>
    <row r="45" spans="1:4" x14ac:dyDescent="0.35">
      <c r="A45" s="101" t="str">
        <f>Overview!A45</f>
        <v>D3. FINANCING</v>
      </c>
      <c r="B45" s="23" t="str">
        <f>Overview!E45</f>
        <v>Yes</v>
      </c>
      <c r="C45" s="12"/>
      <c r="D45" s="13"/>
    </row>
    <row r="46" spans="1:4" ht="97.5" customHeight="1" x14ac:dyDescent="0.35">
      <c r="A46" s="4" t="str">
        <f>Overview!A46</f>
        <v>Additional borrowing (in million LCU)</v>
      </c>
      <c r="B46" s="23">
        <f>Overview!E46</f>
        <v>606</v>
      </c>
      <c r="C46" s="12" t="s">
        <v>165</v>
      </c>
      <c r="D46" s="13" t="s">
        <v>1040</v>
      </c>
    </row>
    <row r="47" spans="1:4" ht="110.5" customHeight="1" x14ac:dyDescent="0.35">
      <c r="A47" s="4" t="str">
        <f>Overview!A47</f>
        <v>Projected deficit (in million LCU)</v>
      </c>
      <c r="B47" s="23">
        <f>Overview!E47</f>
        <v>429.5</v>
      </c>
      <c r="C47" s="12" t="s">
        <v>165</v>
      </c>
      <c r="D47" s="13" t="s">
        <v>166</v>
      </c>
    </row>
    <row r="48" spans="1:4" ht="55.5" customHeight="1" x14ac:dyDescent="0.35">
      <c r="A48" s="4" t="str">
        <f>Overview!A48</f>
        <v>Fiscal balance (%GDP)</v>
      </c>
      <c r="B48" s="55">
        <f>Overview!E48</f>
        <v>-0.01</v>
      </c>
      <c r="C48" s="12" t="s">
        <v>161</v>
      </c>
      <c r="D48" s="13" t="s">
        <v>162</v>
      </c>
    </row>
    <row r="49" spans="1:4" x14ac:dyDescent="0.35">
      <c r="A49" s="97" t="str">
        <f>Overview!A49</f>
        <v>E.  SUPERANNUATION MEASURES</v>
      </c>
      <c r="B49" s="4"/>
    </row>
    <row r="50" spans="1:4" ht="75" customHeight="1" x14ac:dyDescent="0.35">
      <c r="A50" s="3" t="str">
        <f>Overview!A50</f>
        <v>Early access</v>
      </c>
      <c r="B50" s="74" t="str">
        <f>Overview!E50</f>
        <v>Yes</v>
      </c>
      <c r="C50" s="12" t="s">
        <v>106</v>
      </c>
      <c r="D50" s="13" t="s">
        <v>105</v>
      </c>
    </row>
    <row r="51" spans="1:4" x14ac:dyDescent="0.35">
      <c r="A51" s="3" t="str">
        <f>Overview!A51</f>
        <v>Deferred contributions</v>
      </c>
      <c r="B51" s="77" t="str">
        <f>Overview!E51</f>
        <v>No</v>
      </c>
    </row>
    <row r="52" spans="1:4" x14ac:dyDescent="0.35">
      <c r="A52" s="97" t="str">
        <f>Overview!A52</f>
        <v>F. BANK LENDING</v>
      </c>
      <c r="B52" s="78"/>
    </row>
    <row r="53" spans="1:4" ht="62.5" customHeight="1" x14ac:dyDescent="0.35">
      <c r="A53" s="3" t="str">
        <f>Overview!A53</f>
        <v>Credit line</v>
      </c>
      <c r="B53" s="36" t="str">
        <f>Overview!E53</f>
        <v>Yes</v>
      </c>
      <c r="C53" s="26" t="s">
        <v>59</v>
      </c>
      <c r="D53" s="13" t="s">
        <v>62</v>
      </c>
    </row>
    <row r="54" spans="1:4" ht="39" x14ac:dyDescent="0.35">
      <c r="A54" s="3" t="str">
        <f>Overview!A54</f>
        <v>Loan repayment holiday</v>
      </c>
      <c r="B54" s="36" t="str">
        <f>Overview!E54</f>
        <v>Yes</v>
      </c>
      <c r="C54" s="12" t="s">
        <v>59</v>
      </c>
      <c r="D54" s="13" t="s">
        <v>63</v>
      </c>
    </row>
    <row r="55" spans="1:4" x14ac:dyDescent="0.35">
      <c r="A55" s="97" t="str">
        <f>Overview!A55</f>
        <v>G. MONETARY POLICY</v>
      </c>
      <c r="B55" s="36">
        <f>Overview!E55</f>
        <v>0</v>
      </c>
    </row>
    <row r="56" spans="1:4" x14ac:dyDescent="0.35">
      <c r="A56" s="4" t="str">
        <f>Overview!A56</f>
        <v>Monetary policy relaxed</v>
      </c>
      <c r="B56" s="36" t="str">
        <f>Overview!E56</f>
        <v>Yes</v>
      </c>
    </row>
    <row r="57" spans="1:4" ht="26" x14ac:dyDescent="0.35">
      <c r="A57" s="3" t="str">
        <f>Overview!A57</f>
        <v>Cash Reserves requirement lowered</v>
      </c>
      <c r="B57" s="36" t="str">
        <f>Overview!E57</f>
        <v>Yes</v>
      </c>
      <c r="C57" s="13" t="s">
        <v>204</v>
      </c>
      <c r="D57" s="15" t="s">
        <v>205</v>
      </c>
    </row>
    <row r="58" spans="1:4" x14ac:dyDescent="0.35">
      <c r="A58" s="3" t="str">
        <f>Overview!A58</f>
        <v>Discount rate lowered</v>
      </c>
      <c r="B58" s="36" t="str">
        <f>Overview!E58</f>
        <v>No</v>
      </c>
    </row>
    <row r="59" spans="1:4" ht="37.5" customHeight="1" x14ac:dyDescent="0.35">
      <c r="A59" s="3" t="str">
        <f>Overview!A59</f>
        <v>Open market purchases</v>
      </c>
      <c r="B59" s="36" t="str">
        <f>Overview!E59</f>
        <v>Yes</v>
      </c>
      <c r="C59" s="12" t="s">
        <v>60</v>
      </c>
      <c r="D59" s="13" t="s">
        <v>61</v>
      </c>
    </row>
    <row r="60" spans="1:4" ht="92.5" customHeight="1" x14ac:dyDescent="0.35">
      <c r="A60" s="98" t="str">
        <f>Overview!A60</f>
        <v>H. EXCHANGE RATE/RESERVES POLICY (depreciation/appreciation between 1 March 2020 and 22 July 2020)</v>
      </c>
      <c r="B60" s="36" t="str">
        <f>Overview!E60</f>
        <v>No measures; 
Solomon Islands dollar has appreciated against USD by 1.1%.</v>
      </c>
      <c r="C60" s="15" t="s">
        <v>87</v>
      </c>
      <c r="D60" s="13" t="s">
        <v>234</v>
      </c>
    </row>
    <row r="61" spans="1:4" ht="51.65" customHeight="1" x14ac:dyDescent="0.35">
      <c r="A61" s="98" t="str">
        <f>Overview!A61</f>
        <v>I. EXTERNAL ASSISTANCE from outbreak to 12 August 2020 (in million USD)</v>
      </c>
      <c r="B61" s="25">
        <f>Overview!E61</f>
        <v>112.086</v>
      </c>
      <c r="C61" s="15" t="s">
        <v>291</v>
      </c>
      <c r="D61" s="15" t="s">
        <v>621</v>
      </c>
    </row>
    <row r="62" spans="1:4" ht="58" x14ac:dyDescent="0.35">
      <c r="A62" s="72" t="str">
        <f>Overview!A62</f>
        <v>External assistance assumed at the time of the stimulus package (in million LCU)</v>
      </c>
      <c r="B62" s="25">
        <f>Overview!E62</f>
        <v>446</v>
      </c>
      <c r="C62" s="26" t="s">
        <v>168</v>
      </c>
      <c r="D62" s="13" t="s">
        <v>516</v>
      </c>
    </row>
    <row r="63" spans="1:4" ht="29.15" customHeight="1" x14ac:dyDescent="0.35">
      <c r="A63" s="4" t="str">
        <f>Overview!A63</f>
        <v>External assistance as % GDP</v>
      </c>
      <c r="B63" s="47">
        <f>Overview!E63</f>
        <v>7.3043988269794732E-2</v>
      </c>
    </row>
    <row r="64" spans="1:4" ht="149.5" customHeight="1" x14ac:dyDescent="0.35">
      <c r="A64" s="3" t="str">
        <f>Overview!A64</f>
        <v>ADB (in million USD)</v>
      </c>
      <c r="B64" s="12">
        <f>Overview!E64</f>
        <v>27.5</v>
      </c>
      <c r="C64" s="12" t="s">
        <v>1096</v>
      </c>
      <c r="D64" s="12" t="s">
        <v>325</v>
      </c>
    </row>
    <row r="65" spans="1:4" ht="69" customHeight="1" x14ac:dyDescent="0.35">
      <c r="A65" s="3" t="str">
        <f>Overview!A65</f>
        <v>World Bank (in million USD)</v>
      </c>
      <c r="B65" s="6">
        <f>Overview!E65</f>
        <v>15</v>
      </c>
      <c r="C65" s="26" t="s">
        <v>255</v>
      </c>
      <c r="D65" s="13" t="s">
        <v>1087</v>
      </c>
    </row>
    <row r="66" spans="1:4" ht="68.5" customHeight="1" x14ac:dyDescent="0.35">
      <c r="A66" s="3" t="str">
        <f>Overview!A66</f>
        <v>IMF (in million USD)</v>
      </c>
      <c r="B66" s="19">
        <f>Overview!E66</f>
        <v>29.315999999999999</v>
      </c>
      <c r="C66" s="12" t="s">
        <v>202</v>
      </c>
      <c r="D66" s="13" t="s">
        <v>254</v>
      </c>
    </row>
    <row r="67" spans="1:4" ht="66" customHeight="1" x14ac:dyDescent="0.35">
      <c r="A67" s="3" t="str">
        <f>Overview!A67</f>
        <v>Assistance from Australia (in million USD)</v>
      </c>
      <c r="B67" s="25">
        <f>Overview!E67</f>
        <v>9.3000000000000007</v>
      </c>
      <c r="C67" s="12" t="s">
        <v>78</v>
      </c>
      <c r="D67" s="13" t="s">
        <v>281</v>
      </c>
    </row>
    <row r="68" spans="1:4" ht="273.64999999999998" customHeight="1" x14ac:dyDescent="0.35">
      <c r="A68" s="3" t="str">
        <f>Overview!A68</f>
        <v>Assistance from other countries and organisations (in million USD)</v>
      </c>
      <c r="B68" s="23">
        <f>Overview!E68</f>
        <v>30.970000000000002</v>
      </c>
      <c r="C68" s="12" t="s">
        <v>1101</v>
      </c>
      <c r="D68" s="13" t="s">
        <v>326</v>
      </c>
    </row>
    <row r="69" spans="1:4" x14ac:dyDescent="0.35">
      <c r="A69" s="3"/>
    </row>
    <row r="70" spans="1:4" x14ac:dyDescent="0.35">
      <c r="A70" s="79"/>
      <c r="B70" s="80"/>
    </row>
    <row r="71" spans="1:4" x14ac:dyDescent="0.35">
      <c r="A71" s="85"/>
      <c r="B71"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249977111117893"/>
  </sheetPr>
  <dimension ref="A1:D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D63" sqref="D63"/>
    </sheetView>
  </sheetViews>
  <sheetFormatPr defaultRowHeight="14.5" x14ac:dyDescent="0.35"/>
  <cols>
    <col min="1" max="1" width="34.81640625" customWidth="1"/>
    <col min="2" max="2" width="25.54296875" style="19" customWidth="1"/>
    <col min="3" max="3" width="33.7265625" style="15" customWidth="1"/>
    <col min="4" max="4" width="66.54296875" style="15" customWidth="1"/>
  </cols>
  <sheetData>
    <row r="1" spans="1:4" x14ac:dyDescent="0.35">
      <c r="A1" s="99" t="s">
        <v>14</v>
      </c>
      <c r="B1" s="100" t="s">
        <v>15</v>
      </c>
      <c r="C1" s="100" t="s">
        <v>18</v>
      </c>
      <c r="D1" s="100" t="s">
        <v>16</v>
      </c>
    </row>
    <row r="2" spans="1:4" x14ac:dyDescent="0.35">
      <c r="A2" s="97" t="str">
        <f>Overview!A2</f>
        <v>A. BACKGROUND INFORMATION</v>
      </c>
      <c r="B2" s="3"/>
    </row>
    <row r="3" spans="1:4" ht="26" x14ac:dyDescent="0.35">
      <c r="A3" s="4" t="str">
        <f>Overview!A3</f>
        <v>Population (2019)</v>
      </c>
      <c r="B3" s="7">
        <f>Overview!F3</f>
        <v>1400000</v>
      </c>
      <c r="C3" s="12" t="s">
        <v>174</v>
      </c>
      <c r="D3" s="15" t="s">
        <v>623</v>
      </c>
    </row>
    <row r="4" spans="1:4" ht="29" x14ac:dyDescent="0.35">
      <c r="A4" s="4" t="str">
        <f>Overview!A4</f>
        <v>GDP (2019) - in 2019 million USD</v>
      </c>
      <c r="B4" s="34">
        <f>Overview!F4</f>
        <v>1700</v>
      </c>
      <c r="C4" s="89" t="s">
        <v>174</v>
      </c>
      <c r="D4" s="15" t="s">
        <v>623</v>
      </c>
    </row>
    <row r="5" spans="1:4" ht="26" x14ac:dyDescent="0.35">
      <c r="A5" s="4" t="str">
        <f>Overview!A5</f>
        <v>GDP per capita (2019)</v>
      </c>
      <c r="B5" s="34">
        <f>Overview!F5</f>
        <v>1238</v>
      </c>
      <c r="C5" s="12" t="s">
        <v>174</v>
      </c>
      <c r="D5" s="15" t="s">
        <v>623</v>
      </c>
    </row>
    <row r="6" spans="1:4" x14ac:dyDescent="0.35">
      <c r="A6" s="4" t="str">
        <f>Overview!A6</f>
        <v>Exchange rate (22July 2020) - LCU per USD</v>
      </c>
      <c r="B6" s="34">
        <f>Overview!F6</f>
        <v>1</v>
      </c>
      <c r="C6" s="21" t="s">
        <v>26</v>
      </c>
      <c r="D6" s="15" t="s">
        <v>72</v>
      </c>
    </row>
    <row r="7" spans="1:4" ht="59.5" customHeight="1" x14ac:dyDescent="0.35">
      <c r="A7" s="4" t="str">
        <f>Overview!A7</f>
        <v>Fiscal balance (LCU million, 2020, pre-pandemic)</v>
      </c>
      <c r="B7" s="34">
        <f>Overview!F7</f>
        <v>-1202.7</v>
      </c>
      <c r="C7" s="12" t="s">
        <v>173</v>
      </c>
      <c r="D7" s="15" t="s">
        <v>436</v>
      </c>
    </row>
    <row r="8" spans="1:4" ht="39.65" customHeight="1" x14ac:dyDescent="0.35">
      <c r="A8" s="4" t="str">
        <f>Overview!A8</f>
        <v>Fiscal balance ( % of GDP, 2020, pre-pandemic)</v>
      </c>
      <c r="B8" s="88">
        <f>Overview!F8</f>
        <v>0.70747058823529418</v>
      </c>
      <c r="C8" s="12" t="s">
        <v>291</v>
      </c>
      <c r="D8" s="13" t="s">
        <v>435</v>
      </c>
    </row>
    <row r="9" spans="1:4" ht="84.65" customHeight="1" x14ac:dyDescent="0.35">
      <c r="A9" s="4" t="str">
        <f>Overview!A9</f>
        <v>Debt (% GDP) (pre-COVID)</v>
      </c>
      <c r="B9" s="28">
        <f>Overview!F9</f>
        <v>7.3999999999999996E-2</v>
      </c>
      <c r="C9" s="12" t="s">
        <v>80</v>
      </c>
      <c r="D9" s="13" t="s">
        <v>81</v>
      </c>
    </row>
    <row r="10" spans="1:4" ht="32.5" customHeight="1" x14ac:dyDescent="0.35">
      <c r="A10" s="4" t="str">
        <f>Overview!A10</f>
        <v>Local currency unit (LCU)</v>
      </c>
      <c r="B10" s="28" t="str">
        <f>Overview!F10</f>
        <v>US dollar</v>
      </c>
      <c r="C10" s="12"/>
      <c r="D10" s="13"/>
    </row>
    <row r="11" spans="1:4" ht="32.5" customHeight="1" x14ac:dyDescent="0.35">
      <c r="A11" s="4" t="str">
        <f>Overview!A11</f>
        <v>Fiscal year</v>
      </c>
      <c r="B11" s="28" t="str">
        <f>Overview!F11</f>
        <v>January to December</v>
      </c>
      <c r="C11" s="12" t="s">
        <v>242</v>
      </c>
      <c r="D11" s="13"/>
    </row>
    <row r="12" spans="1:4" ht="32.5" customHeight="1" x14ac:dyDescent="0.35">
      <c r="A12" s="4" t="str">
        <f>Overview!A12</f>
        <v>Announcement month</v>
      </c>
      <c r="B12" s="28" t="str">
        <f>Overview!F12</f>
        <v>Apr 2020</v>
      </c>
      <c r="C12" s="12" t="s">
        <v>73</v>
      </c>
      <c r="D12" s="13" t="s">
        <v>415</v>
      </c>
    </row>
    <row r="13" spans="1:4" ht="20.149999999999999" customHeight="1" x14ac:dyDescent="0.35">
      <c r="A13" s="97" t="str">
        <f>Overview!A13</f>
        <v>B. ECONOMIC IMPACT</v>
      </c>
      <c r="B13" s="22"/>
      <c r="C13" s="12"/>
      <c r="D13" s="13"/>
    </row>
    <row r="14" spans="1:4" ht="55.5" customHeight="1" x14ac:dyDescent="0.35">
      <c r="A14" s="4" t="str">
        <f>Overview!A14</f>
        <v>Projected growth - pre-COVID</v>
      </c>
      <c r="B14" s="28">
        <f>Overview!F14</f>
        <v>7.1999999999999995E-2</v>
      </c>
      <c r="C14" s="12" t="s">
        <v>173</v>
      </c>
      <c r="D14" s="13" t="s">
        <v>437</v>
      </c>
    </row>
    <row r="15" spans="1:4" ht="33.65" customHeight="1" x14ac:dyDescent="0.35">
      <c r="A15" s="4" t="str">
        <f>Overview!A15</f>
        <v>Projected growth - post-COVID</v>
      </c>
      <c r="B15" s="28">
        <f>Overview!F15</f>
        <v>-3.6999999999999998E-2</v>
      </c>
      <c r="C15" s="12" t="s">
        <v>207</v>
      </c>
      <c r="D15" s="13" t="s">
        <v>208</v>
      </c>
    </row>
    <row r="16" spans="1:4" ht="55" customHeight="1" x14ac:dyDescent="0.35">
      <c r="A16" s="4" t="str">
        <f>Overview!A16</f>
        <v>GDP (2020) - current prices (LCU million) - pre COVID</v>
      </c>
      <c r="B16" s="40">
        <f>Overview!F16</f>
        <v>1813</v>
      </c>
      <c r="C16" s="12" t="s">
        <v>173</v>
      </c>
      <c r="D16" s="13" t="s">
        <v>487</v>
      </c>
    </row>
    <row r="17" spans="1:4" ht="33.65" customHeight="1" x14ac:dyDescent="0.35">
      <c r="A17" s="4" t="str">
        <f>Overview!A17</f>
        <v>GDP (2020) - current prices (LCU million)- post COVID</v>
      </c>
      <c r="B17" s="40">
        <f>Overview!F17</f>
        <v>1637.1</v>
      </c>
      <c r="C17" s="12" t="s">
        <v>291</v>
      </c>
      <c r="D17" s="13" t="s">
        <v>645</v>
      </c>
    </row>
    <row r="18" spans="1:4" ht="49" customHeight="1" x14ac:dyDescent="0.35">
      <c r="A18" s="4" t="str">
        <f>Overview!A18</f>
        <v>Projected revenue - pre-COVID (in million LCU)</v>
      </c>
      <c r="B18" s="81">
        <f>Overview!F18</f>
        <v>805.5</v>
      </c>
      <c r="C18" s="12" t="s">
        <v>173</v>
      </c>
      <c r="D18" s="13" t="s">
        <v>503</v>
      </c>
    </row>
    <row r="19" spans="1:4" ht="74.150000000000006" customHeight="1" x14ac:dyDescent="0.35">
      <c r="A19" s="4" t="str">
        <f>Overview!A19</f>
        <v>Projected revenue - post-COVID (in million LCU)</v>
      </c>
      <c r="B19" s="40"/>
      <c r="C19" s="12"/>
      <c r="D19" s="13"/>
    </row>
    <row r="20" spans="1:4" ht="44.15" customHeight="1" x14ac:dyDescent="0.35">
      <c r="A20" s="4" t="str">
        <f>Overview!A20</f>
        <v>Fall in domestic revenue as % of domestic revenue</v>
      </c>
      <c r="B20" s="40"/>
      <c r="C20" s="12"/>
      <c r="D20" s="13"/>
    </row>
    <row r="21" spans="1:4" ht="51.65" customHeight="1" x14ac:dyDescent="0.35">
      <c r="A21" s="4" t="str">
        <f>Overview!A21</f>
        <v>Debt (% GDP) (post-COVID)</v>
      </c>
      <c r="B21" s="55">
        <f>Overview!F21</f>
        <v>7.6843198338525445E-2</v>
      </c>
      <c r="C21" s="59" t="s">
        <v>218</v>
      </c>
      <c r="D21" s="13" t="s">
        <v>217</v>
      </c>
    </row>
    <row r="22" spans="1:4" ht="71.150000000000006" customHeight="1" x14ac:dyDescent="0.35">
      <c r="A22" s="4" t="str">
        <f>Overview!A22</f>
        <v>Risk of external debt distress (pre-COVID)</v>
      </c>
      <c r="B22" s="55" t="str">
        <f>Overview!F22</f>
        <v>Low</v>
      </c>
      <c r="C22" s="62" t="s">
        <v>467</v>
      </c>
      <c r="D22" s="13" t="s">
        <v>480</v>
      </c>
    </row>
    <row r="23" spans="1:4" ht="71.150000000000006" customHeight="1" x14ac:dyDescent="0.35">
      <c r="A23" s="4" t="str">
        <f>Overview!A23</f>
        <v>Risk of external debt distress (post-COVID)</v>
      </c>
      <c r="B23" s="55" t="str">
        <f>Overview!F23</f>
        <v>Low</v>
      </c>
      <c r="C23" s="62" t="s">
        <v>468</v>
      </c>
      <c r="D23" s="13" t="s">
        <v>481</v>
      </c>
    </row>
    <row r="24" spans="1:4" x14ac:dyDescent="0.35">
      <c r="A24" s="97" t="str">
        <f>Overview!A24</f>
        <v>C. STIMULUS PACKAGE - OVERALL SIZE</v>
      </c>
      <c r="B24" s="4"/>
      <c r="D24" s="11"/>
    </row>
    <row r="25" spans="1:4" ht="249" customHeight="1" x14ac:dyDescent="0.35">
      <c r="A25" s="4" t="str">
        <f>Overview!A25</f>
        <v>Stimulus Package (in million LCU)</v>
      </c>
      <c r="B25" s="45">
        <f>Overview!F25</f>
        <v>250</v>
      </c>
      <c r="C25" s="12" t="s">
        <v>112</v>
      </c>
      <c r="D25" s="13" t="s">
        <v>115</v>
      </c>
    </row>
    <row r="26" spans="1:4" ht="26.15" customHeight="1" x14ac:dyDescent="0.35">
      <c r="A26" s="4" t="str">
        <f>Overview!A26</f>
        <v>Stimulus Package (in million USD)</v>
      </c>
      <c r="B26" s="40">
        <f>Overview!F26</f>
        <v>250</v>
      </c>
      <c r="C26" s="12" t="s">
        <v>112</v>
      </c>
      <c r="D26" s="13" t="s">
        <v>115</v>
      </c>
    </row>
    <row r="27" spans="1:4" ht="33.65" customHeight="1" x14ac:dyDescent="0.35">
      <c r="A27" s="4" t="str">
        <f>Overview!A27</f>
        <v>Stimulus Package (% GDP)</v>
      </c>
      <c r="B27" s="55">
        <f>Overview!F27</f>
        <v>0.14705882352941177</v>
      </c>
      <c r="C27" s="12" t="s">
        <v>291</v>
      </c>
      <c r="D27" s="13" t="s">
        <v>291</v>
      </c>
    </row>
    <row r="28" spans="1:4" x14ac:dyDescent="0.35">
      <c r="A28" s="3" t="str">
        <f>Overview!A28</f>
        <v>Stimulus per capita (USD per capita)</v>
      </c>
      <c r="B28" s="71">
        <f>Overview!F28</f>
        <v>178.57142857142858</v>
      </c>
      <c r="C28" s="15" t="s">
        <v>291</v>
      </c>
      <c r="D28" s="15" t="s">
        <v>291</v>
      </c>
    </row>
    <row r="29" spans="1:4" x14ac:dyDescent="0.35">
      <c r="A29" s="98" t="str">
        <f>Overview!A29</f>
        <v>D. FISCAL POLICY</v>
      </c>
      <c r="B29" s="72"/>
    </row>
    <row r="30" spans="1:4" x14ac:dyDescent="0.35">
      <c r="A30" s="101" t="str">
        <f>Overview!A30</f>
        <v>D1. TAX</v>
      </c>
      <c r="B30" s="73"/>
    </row>
    <row r="31" spans="1:4" ht="26.5" x14ac:dyDescent="0.35">
      <c r="A31" s="3" t="str">
        <f>Overview!A31</f>
        <v>Tax deadline extension</v>
      </c>
      <c r="B31" s="74" t="str">
        <f>Overview!F31</f>
        <v>Yes</v>
      </c>
      <c r="C31" s="16" t="s">
        <v>58</v>
      </c>
      <c r="D31" s="13" t="s">
        <v>74</v>
      </c>
    </row>
    <row r="32" spans="1:4" x14ac:dyDescent="0.35">
      <c r="A32" s="3" t="str">
        <f>Overview!A32</f>
        <v>Priority processing of GST refunds</v>
      </c>
      <c r="B32" s="74" t="str">
        <f>Overview!F32</f>
        <v xml:space="preserve">No </v>
      </c>
      <c r="C32" s="15" t="s">
        <v>603</v>
      </c>
      <c r="D32" s="15" t="s">
        <v>603</v>
      </c>
    </row>
    <row r="33" spans="1:4" ht="26.5" customHeight="1" x14ac:dyDescent="0.35">
      <c r="A33" s="3" t="str">
        <f>Overview!A33</f>
        <v>Tax cuts</v>
      </c>
      <c r="B33" s="74" t="str">
        <f>Overview!F33</f>
        <v xml:space="preserve">No </v>
      </c>
      <c r="C33" s="15" t="s">
        <v>603</v>
      </c>
      <c r="D33" s="15" t="s">
        <v>603</v>
      </c>
    </row>
    <row r="34" spans="1:4" ht="36.65" customHeight="1" x14ac:dyDescent="0.35">
      <c r="A34" s="101" t="str">
        <f>Overview!A34</f>
        <v xml:space="preserve">D2. EXPENDITURE </v>
      </c>
      <c r="B34" s="74"/>
      <c r="C34" s="12"/>
    </row>
    <row r="35" spans="1:4" ht="46.5" customHeight="1" x14ac:dyDescent="0.35">
      <c r="A35" s="4" t="str">
        <f>Overview!A35</f>
        <v>Additional expenditure (in million LCU)</v>
      </c>
      <c r="B35" s="74">
        <f>Overview!F35</f>
        <v>150</v>
      </c>
      <c r="C35" s="26" t="s">
        <v>116</v>
      </c>
      <c r="D35" s="13" t="s">
        <v>646</v>
      </c>
    </row>
    <row r="36" spans="1:4" ht="44.15" customHeight="1" x14ac:dyDescent="0.35">
      <c r="A36" s="4" t="str">
        <f>Overview!A36</f>
        <v>Unemployment/cash benefits</v>
      </c>
      <c r="B36" s="74" t="str">
        <f>Overview!F36</f>
        <v>Yes</v>
      </c>
      <c r="C36" s="12" t="s">
        <v>73</v>
      </c>
      <c r="D36" s="13" t="s">
        <v>75</v>
      </c>
    </row>
    <row r="37" spans="1:4" ht="42.65" customHeight="1" x14ac:dyDescent="0.35">
      <c r="A37" s="4" t="str">
        <f>Overview!A37</f>
        <v>Expenditure (in million USD)</v>
      </c>
      <c r="B37" s="74">
        <f>Overview!F37</f>
        <v>150</v>
      </c>
      <c r="C37" s="26" t="s">
        <v>116</v>
      </c>
      <c r="D37" s="13" t="s">
        <v>647</v>
      </c>
    </row>
    <row r="38" spans="1:4" ht="203.15" customHeight="1" x14ac:dyDescent="0.35">
      <c r="A38" s="4" t="str">
        <f>Overview!A38</f>
        <v>Health expenditure (in million USD)</v>
      </c>
      <c r="B38" s="74">
        <f>Overview!F38</f>
        <v>0</v>
      </c>
      <c r="C38" s="26" t="s">
        <v>116</v>
      </c>
      <c r="D38" s="13" t="s">
        <v>648</v>
      </c>
    </row>
    <row r="39" spans="1:4" ht="75.650000000000006" customHeight="1" x14ac:dyDescent="0.35">
      <c r="A39" s="4" t="str">
        <f>Overview!A39</f>
        <v>Food security expenditure (in million USD)</v>
      </c>
      <c r="B39" s="74">
        <f>Overview!F39</f>
        <v>2.44</v>
      </c>
      <c r="C39" s="26" t="s">
        <v>318</v>
      </c>
      <c r="D39" s="13" t="s">
        <v>649</v>
      </c>
    </row>
    <row r="40" spans="1:4" ht="48.65" customHeight="1" x14ac:dyDescent="0.35">
      <c r="A40" s="4" t="str">
        <f>Overview!A40</f>
        <v>Safety net expenditure (in million USD)</v>
      </c>
      <c r="B40" s="74">
        <f>Overview!F40</f>
        <v>64.2</v>
      </c>
      <c r="C40" s="26" t="s">
        <v>116</v>
      </c>
      <c r="D40" s="13" t="s">
        <v>319</v>
      </c>
    </row>
    <row r="41" spans="1:4" ht="26.5" customHeight="1" x14ac:dyDescent="0.35">
      <c r="A41" s="4" t="str">
        <f>Overview!A41</f>
        <v>Business support expenditure (in million USD)</v>
      </c>
      <c r="B41" s="74" t="str">
        <f>Overview!F41</f>
        <v>NA</v>
      </c>
      <c r="C41" s="26" t="s">
        <v>603</v>
      </c>
      <c r="D41" s="13" t="s">
        <v>603</v>
      </c>
    </row>
    <row r="42" spans="1:4" ht="26.5" customHeight="1" x14ac:dyDescent="0.35">
      <c r="A42" s="4" t="str">
        <f>Overview!A42</f>
        <v>Infrastructure expenditure (in million USD)</v>
      </c>
      <c r="B42" s="74">
        <f>Overview!F42</f>
        <v>0</v>
      </c>
      <c r="C42" s="26" t="s">
        <v>603</v>
      </c>
      <c r="D42" s="13" t="s">
        <v>603</v>
      </c>
    </row>
    <row r="43" spans="1:4" ht="26.5" customHeight="1" x14ac:dyDescent="0.35">
      <c r="A43" s="4" t="str">
        <f>Overview!A43</f>
        <v>Expenditure (% GDP)</v>
      </c>
      <c r="B43" s="76">
        <f>Overview!F43</f>
        <v>8.2735797021511306E-2</v>
      </c>
      <c r="C43" s="12" t="s">
        <v>291</v>
      </c>
      <c r="D43" s="15" t="s">
        <v>638</v>
      </c>
    </row>
    <row r="44" spans="1:4" x14ac:dyDescent="0.35">
      <c r="A44" s="4" t="str">
        <f>Overview!A44</f>
        <v>Expenditure per capita (USD per capita)</v>
      </c>
      <c r="B44" s="40">
        <f>Overview!F44</f>
        <v>107.14285714285714</v>
      </c>
      <c r="C44" s="15" t="s">
        <v>291</v>
      </c>
      <c r="D44" s="15" t="s">
        <v>613</v>
      </c>
    </row>
    <row r="45" spans="1:4" x14ac:dyDescent="0.35">
      <c r="A45" s="101" t="str">
        <f>Overview!A45</f>
        <v>D3. FINANCING</v>
      </c>
      <c r="B45" s="23" t="str">
        <f>Overview!F45</f>
        <v>Nil</v>
      </c>
    </row>
    <row r="46" spans="1:4" ht="32.5" customHeight="1" x14ac:dyDescent="0.35">
      <c r="A46" s="4" t="str">
        <f>Overview!A46</f>
        <v>Additional borrowing (in million LCU)</v>
      </c>
      <c r="B46" s="23">
        <f>Overview!F46</f>
        <v>0</v>
      </c>
      <c r="C46" s="15" t="s">
        <v>603</v>
      </c>
      <c r="D46" s="15" t="s">
        <v>650</v>
      </c>
    </row>
    <row r="47" spans="1:4" ht="33.65" customHeight="1" x14ac:dyDescent="0.35">
      <c r="A47" s="4" t="str">
        <f>Overview!A47</f>
        <v>Projected deficit (in million LCU)</v>
      </c>
      <c r="B47" s="23">
        <v>508.93</v>
      </c>
      <c r="C47" s="26" t="s">
        <v>174</v>
      </c>
      <c r="D47" s="15" t="s">
        <v>438</v>
      </c>
    </row>
    <row r="48" spans="1:4" ht="36" customHeight="1" x14ac:dyDescent="0.35">
      <c r="A48" s="4" t="str">
        <f>Overview!A48</f>
        <v>Fiscal balance (%GDP)</v>
      </c>
      <c r="B48" s="55">
        <f>Overview!F48</f>
        <v>-0.308</v>
      </c>
      <c r="C48" s="12" t="s">
        <v>174</v>
      </c>
      <c r="D48" s="15" t="s">
        <v>175</v>
      </c>
    </row>
    <row r="49" spans="1:4" x14ac:dyDescent="0.35">
      <c r="A49" s="97" t="str">
        <f>Overview!A49</f>
        <v>E.  SUPERANNUATION MEASURES</v>
      </c>
      <c r="B49" s="4"/>
    </row>
    <row r="50" spans="1:4" x14ac:dyDescent="0.35">
      <c r="A50" s="3" t="str">
        <f>Overview!A50</f>
        <v>Early access</v>
      </c>
      <c r="B50" s="74" t="str">
        <f>Overview!F50</f>
        <v>No</v>
      </c>
      <c r="C50" s="15" t="s">
        <v>603</v>
      </c>
      <c r="D50" s="15" t="s">
        <v>603</v>
      </c>
    </row>
    <row r="51" spans="1:4" x14ac:dyDescent="0.35">
      <c r="A51" s="3" t="str">
        <f>Overview!A51</f>
        <v>Deferred contributions</v>
      </c>
      <c r="B51" s="77" t="str">
        <f>Overview!F51</f>
        <v>No</v>
      </c>
      <c r="C51" s="15" t="s">
        <v>603</v>
      </c>
      <c r="D51" s="15" t="s">
        <v>603</v>
      </c>
    </row>
    <row r="52" spans="1:4" x14ac:dyDescent="0.35">
      <c r="A52" s="97" t="str">
        <f>Overview!A52</f>
        <v>F. BANK LENDING</v>
      </c>
      <c r="B52" s="78"/>
    </row>
    <row r="53" spans="1:4" ht="107.15" customHeight="1" x14ac:dyDescent="0.35">
      <c r="A53" s="3" t="str">
        <f>Overview!A53</f>
        <v>Credit line</v>
      </c>
      <c r="B53" s="36" t="str">
        <f>Overview!F53</f>
        <v>Yes</v>
      </c>
      <c r="C53" s="12" t="s">
        <v>58</v>
      </c>
      <c r="D53" s="13" t="s">
        <v>76</v>
      </c>
    </row>
    <row r="54" spans="1:4" ht="61.5" customHeight="1" x14ac:dyDescent="0.35">
      <c r="A54" s="3" t="str">
        <f>Overview!A54</f>
        <v>Loan repayment holiday</v>
      </c>
      <c r="B54" s="36" t="str">
        <f>Overview!F54</f>
        <v>Yes</v>
      </c>
      <c r="C54" s="26" t="s">
        <v>116</v>
      </c>
      <c r="D54" s="13" t="s">
        <v>117</v>
      </c>
    </row>
    <row r="55" spans="1:4" x14ac:dyDescent="0.35">
      <c r="A55" s="97" t="str">
        <f>Overview!A55</f>
        <v>G. MONETARY POLICY</v>
      </c>
      <c r="B55" s="36"/>
    </row>
    <row r="56" spans="1:4" x14ac:dyDescent="0.35">
      <c r="A56" s="4" t="str">
        <f>Overview!A56</f>
        <v>Monetary policy relaxed</v>
      </c>
      <c r="B56" s="36" t="str">
        <f>Overview!F56</f>
        <v>No</v>
      </c>
      <c r="C56" s="15" t="s">
        <v>603</v>
      </c>
      <c r="D56" s="15" t="s">
        <v>603</v>
      </c>
    </row>
    <row r="57" spans="1:4" x14ac:dyDescent="0.35">
      <c r="A57" s="3" t="str">
        <f>Overview!A57</f>
        <v>Cash Reserves requirement lowered</v>
      </c>
      <c r="B57" s="36" t="str">
        <f>Overview!F57</f>
        <v>No</v>
      </c>
      <c r="C57" s="15" t="s">
        <v>603</v>
      </c>
      <c r="D57" s="15" t="s">
        <v>603</v>
      </c>
    </row>
    <row r="58" spans="1:4" x14ac:dyDescent="0.35">
      <c r="A58" s="3" t="str">
        <f>Overview!A58</f>
        <v>Discount rate lowered</v>
      </c>
      <c r="B58" s="36" t="str">
        <f>Overview!F58</f>
        <v>No</v>
      </c>
      <c r="C58" s="15" t="s">
        <v>603</v>
      </c>
      <c r="D58" s="15" t="s">
        <v>603</v>
      </c>
    </row>
    <row r="59" spans="1:4" x14ac:dyDescent="0.35">
      <c r="A59" s="3" t="str">
        <f>Overview!A59</f>
        <v>Open market purchases</v>
      </c>
      <c r="B59" s="36" t="str">
        <f>Overview!F59</f>
        <v>No</v>
      </c>
      <c r="C59" s="15" t="s">
        <v>603</v>
      </c>
      <c r="D59" s="15" t="s">
        <v>603</v>
      </c>
    </row>
    <row r="60" spans="1:4" ht="39" x14ac:dyDescent="0.35">
      <c r="A60" s="98" t="str">
        <f>Overview!A60</f>
        <v>H. EXCHANGE RATE/RESERVES POLICY (depreciation/appreciation between 1 March 2020 and 22 July 2020)</v>
      </c>
      <c r="B60" s="36" t="str">
        <f>Overview!F60</f>
        <v>NA</v>
      </c>
      <c r="C60" s="15" t="s">
        <v>622</v>
      </c>
      <c r="D60" s="15" t="s">
        <v>72</v>
      </c>
    </row>
    <row r="61" spans="1:4" ht="37" customHeight="1" x14ac:dyDescent="0.35">
      <c r="A61" s="72" t="str">
        <f>Overview!A61</f>
        <v>I. EXTERNAL ASSISTANCE from outbreak to 12 August 2020 (in million USD)</v>
      </c>
      <c r="B61" s="25">
        <f>Overview!F61</f>
        <v>11.64</v>
      </c>
      <c r="C61" s="15" t="s">
        <v>291</v>
      </c>
      <c r="D61" s="15" t="s">
        <v>621</v>
      </c>
    </row>
    <row r="62" spans="1:4" ht="190.5" customHeight="1" x14ac:dyDescent="0.35">
      <c r="A62" s="72" t="str">
        <f>Overview!A62</f>
        <v>External assistance assumed at the time of the stimulus package (in million LCU)</v>
      </c>
      <c r="B62" s="25" t="str">
        <f>Overview!F62</f>
        <v>Not included</v>
      </c>
      <c r="C62" s="13" t="s">
        <v>517</v>
      </c>
      <c r="D62" s="13" t="s">
        <v>666</v>
      </c>
    </row>
    <row r="63" spans="1:4" ht="27" customHeight="1" x14ac:dyDescent="0.35">
      <c r="A63" s="4" t="str">
        <f>Overview!A63</f>
        <v>External assistance as % GDP</v>
      </c>
      <c r="B63" s="47">
        <f>Overview!F63</f>
        <v>6.420297848869278E-3</v>
      </c>
      <c r="C63" s="15" t="s">
        <v>291</v>
      </c>
      <c r="D63" s="15" t="s">
        <v>605</v>
      </c>
    </row>
    <row r="64" spans="1:4" ht="119.15" customHeight="1" x14ac:dyDescent="0.35">
      <c r="A64" s="3" t="str">
        <f>Overview!A64</f>
        <v>ADB (in million USD)</v>
      </c>
      <c r="B64" s="12">
        <f>Overview!F64</f>
        <v>2.6</v>
      </c>
      <c r="C64" s="12" t="s">
        <v>116</v>
      </c>
      <c r="D64" s="13" t="s">
        <v>327</v>
      </c>
    </row>
    <row r="65" spans="1:4" x14ac:dyDescent="0.35">
      <c r="A65" s="3" t="str">
        <f>Overview!A65</f>
        <v>World Bank (in million USD)</v>
      </c>
      <c r="B65" s="6">
        <f>Overview!F65</f>
        <v>0</v>
      </c>
      <c r="C65" s="15" t="s">
        <v>603</v>
      </c>
      <c r="D65" s="15" t="s">
        <v>603</v>
      </c>
    </row>
    <row r="66" spans="1:4" x14ac:dyDescent="0.35">
      <c r="A66" s="3" t="str">
        <f>Overview!A66</f>
        <v>IMF (in million USD)</v>
      </c>
      <c r="B66" s="19">
        <f>Overview!F66</f>
        <v>0</v>
      </c>
      <c r="C66" s="15" t="s">
        <v>603</v>
      </c>
      <c r="D66" s="15" t="s">
        <v>603</v>
      </c>
    </row>
    <row r="67" spans="1:4" ht="54.65" customHeight="1" x14ac:dyDescent="0.35">
      <c r="A67" s="3" t="str">
        <f>Overview!A67</f>
        <v>Assistance from Australia (in million USD)</v>
      </c>
      <c r="B67" s="25">
        <f>Overview!F67</f>
        <v>6.94</v>
      </c>
      <c r="C67" s="12" t="s">
        <v>78</v>
      </c>
      <c r="D67" s="13" t="s">
        <v>113</v>
      </c>
    </row>
    <row r="68" spans="1:4" ht="94" customHeight="1" x14ac:dyDescent="0.35">
      <c r="A68" s="3" t="str">
        <f>Overview!A68</f>
        <v>Assistance from other countries and organisations (in million USD)</v>
      </c>
      <c r="B68" s="23">
        <f>Overview!F68</f>
        <v>2.1</v>
      </c>
      <c r="C68" s="12" t="s">
        <v>116</v>
      </c>
      <c r="D68" s="13" t="s">
        <v>114</v>
      </c>
    </row>
    <row r="69" spans="1:4" x14ac:dyDescent="0.35">
      <c r="A69" s="3"/>
    </row>
    <row r="70" spans="1:4" x14ac:dyDescent="0.35">
      <c r="A70" s="79"/>
      <c r="B70" s="80"/>
    </row>
    <row r="71" spans="1:4" x14ac:dyDescent="0.35">
      <c r="A71" s="85"/>
      <c r="B71" s="8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tint="-0.249977111117893"/>
  </sheetPr>
  <dimension ref="A1:D71"/>
  <sheetViews>
    <sheetView zoomScale="80" zoomScaleNormal="80" workbookViewId="0">
      <pane xSplit="1" ySplit="1" topLeftCell="B2" activePane="bottomRight" state="frozen"/>
      <selection activeCell="B31" sqref="B31"/>
      <selection pane="topRight" activeCell="B31" sqref="B31"/>
      <selection pane="bottomLeft" activeCell="B31" sqref="B31"/>
      <selection pane="bottomRight" activeCell="F7" sqref="F7"/>
    </sheetView>
  </sheetViews>
  <sheetFormatPr defaultRowHeight="14.5" x14ac:dyDescent="0.35"/>
  <cols>
    <col min="1" max="1" width="34.81640625" customWidth="1"/>
    <col min="2" max="2" width="35" style="19" customWidth="1"/>
    <col min="3" max="3" width="38.453125" style="15" customWidth="1"/>
    <col min="4" max="4" width="69.26953125" style="15" customWidth="1"/>
  </cols>
  <sheetData>
    <row r="1" spans="1:4" x14ac:dyDescent="0.35">
      <c r="A1" s="99" t="s">
        <v>14</v>
      </c>
      <c r="B1" s="100" t="s">
        <v>15</v>
      </c>
      <c r="C1" s="100" t="s">
        <v>18</v>
      </c>
      <c r="D1" s="100" t="s">
        <v>16</v>
      </c>
    </row>
    <row r="2" spans="1:4" x14ac:dyDescent="0.35">
      <c r="A2" s="97" t="str">
        <f>Overview!A2</f>
        <v>A. BACKGROUND INFORMATION</v>
      </c>
      <c r="B2" s="3"/>
    </row>
    <row r="3" spans="1:4" ht="26" x14ac:dyDescent="0.35">
      <c r="A3" s="4" t="str">
        <f>Overview!A3</f>
        <v>Population (2019)</v>
      </c>
      <c r="B3" s="7">
        <f>Overview!G3</f>
        <v>103197</v>
      </c>
      <c r="C3" s="12" t="s">
        <v>174</v>
      </c>
      <c r="D3" s="15" t="s">
        <v>623</v>
      </c>
    </row>
    <row r="4" spans="1:4" ht="26" x14ac:dyDescent="0.35">
      <c r="A4" s="4" t="str">
        <f>Overview!A4</f>
        <v>GDP (2019) - in 2019 million USD</v>
      </c>
      <c r="B4" s="34">
        <f>Overview!G4</f>
        <v>430</v>
      </c>
      <c r="C4" s="12" t="s">
        <v>174</v>
      </c>
      <c r="D4" s="15" t="s">
        <v>623</v>
      </c>
    </row>
    <row r="5" spans="1:4" ht="26" x14ac:dyDescent="0.35">
      <c r="A5" s="4" t="str">
        <f>Overview!A5</f>
        <v>GDP per capita (2019)</v>
      </c>
      <c r="B5" s="34">
        <f>Overview!G5</f>
        <v>4166.7877942188243</v>
      </c>
      <c r="C5" s="12" t="s">
        <v>174</v>
      </c>
      <c r="D5" s="15" t="s">
        <v>623</v>
      </c>
    </row>
    <row r="6" spans="1:4" ht="19" customHeight="1" x14ac:dyDescent="0.35">
      <c r="A6" s="4" t="str">
        <f>Overview!A6</f>
        <v>Exchange rate (22July 2020) - LCU per USD</v>
      </c>
      <c r="B6" s="34">
        <f>Overview!G6</f>
        <v>2.27</v>
      </c>
      <c r="C6" s="13" t="s">
        <v>87</v>
      </c>
      <c r="D6" s="8" t="s">
        <v>278</v>
      </c>
    </row>
    <row r="7" spans="1:4" ht="37" customHeight="1" x14ac:dyDescent="0.35">
      <c r="A7" s="4" t="str">
        <f>Overview!A7</f>
        <v>Fiscal balance (LCU million, 2020, pre-pandemic)</v>
      </c>
      <c r="B7" s="93">
        <f>Overview!G7</f>
        <v>10.199999999999999</v>
      </c>
      <c r="C7" s="87" t="s">
        <v>169</v>
      </c>
      <c r="D7" s="8" t="s">
        <v>440</v>
      </c>
    </row>
    <row r="8" spans="1:4" ht="64" customHeight="1" x14ac:dyDescent="0.35">
      <c r="A8" s="4" t="str">
        <f>Overview!A8</f>
        <v>Fiscal balance ( % of GDP, 2020, pre-pandemic)</v>
      </c>
      <c r="B8" s="88">
        <f>Overview!G8</f>
        <v>8.9999999999999993E-3</v>
      </c>
      <c r="C8" s="26" t="s">
        <v>1082</v>
      </c>
      <c r="D8" s="13" t="s">
        <v>1083</v>
      </c>
    </row>
    <row r="9" spans="1:4" ht="74.150000000000006" customHeight="1" x14ac:dyDescent="0.35">
      <c r="A9" s="4" t="str">
        <f>Overview!A9</f>
        <v>Debt (% GDP) (pre-COVID)</v>
      </c>
      <c r="B9" s="28">
        <f>Overview!G9</f>
        <v>0.38</v>
      </c>
      <c r="C9" s="87" t="s">
        <v>169</v>
      </c>
      <c r="D9" s="13" t="s">
        <v>170</v>
      </c>
    </row>
    <row r="10" spans="1:4" ht="25" customHeight="1" x14ac:dyDescent="0.35">
      <c r="A10" s="4" t="str">
        <f>Overview!A10</f>
        <v>Local currency unit (LCU)</v>
      </c>
      <c r="B10" s="28" t="str">
        <f>Overview!G10</f>
        <v>Tonga pa'anga</v>
      </c>
      <c r="C10" s="67"/>
      <c r="D10" s="13"/>
    </row>
    <row r="11" spans="1:4" ht="26.5" x14ac:dyDescent="0.35">
      <c r="A11" s="4" t="str">
        <f>Overview!A11</f>
        <v>Fiscal year</v>
      </c>
      <c r="B11" s="28" t="str">
        <f>Overview!G11</f>
        <v>July to June</v>
      </c>
      <c r="C11" s="67" t="s">
        <v>241</v>
      </c>
      <c r="D11" s="13"/>
    </row>
    <row r="12" spans="1:4" ht="43.5" x14ac:dyDescent="0.35">
      <c r="A12" s="4" t="str">
        <f>Overview!A12</f>
        <v>Announcement month</v>
      </c>
      <c r="B12" s="28" t="str">
        <f>Overview!G12</f>
        <v>Apr 2020</v>
      </c>
      <c r="C12" s="26" t="s">
        <v>195</v>
      </c>
      <c r="D12" s="13" t="s">
        <v>414</v>
      </c>
    </row>
    <row r="13" spans="1:4" x14ac:dyDescent="0.35">
      <c r="A13" s="97" t="str">
        <f>Overview!A13</f>
        <v>B. ECONOMIC IMPACT</v>
      </c>
      <c r="B13" s="22"/>
      <c r="C13" s="16"/>
    </row>
    <row r="14" spans="1:4" ht="26.5" x14ac:dyDescent="0.35">
      <c r="A14" s="4" t="str">
        <f>Overview!A14</f>
        <v>Projected growth - pre-COVID</v>
      </c>
      <c r="B14" s="28">
        <f>Overview!G14</f>
        <v>0.03</v>
      </c>
      <c r="C14" s="68" t="s">
        <v>169</v>
      </c>
      <c r="D14" s="13" t="s">
        <v>171</v>
      </c>
    </row>
    <row r="15" spans="1:4" ht="29.5" customHeight="1" x14ac:dyDescent="0.35">
      <c r="A15" s="4" t="str">
        <f>Overview!A15</f>
        <v>Projected growth - post-COVID</v>
      </c>
      <c r="B15" s="28">
        <f>Overview!G15</f>
        <v>-0.03</v>
      </c>
      <c r="C15" s="12" t="s">
        <v>209</v>
      </c>
      <c r="D15" s="15" t="s">
        <v>210</v>
      </c>
    </row>
    <row r="16" spans="1:4" ht="56.5" customHeight="1" x14ac:dyDescent="0.35">
      <c r="A16" s="4" t="str">
        <f>Overview!A16</f>
        <v>GDP (2020) - current prices (LCU million) - pre COVID</v>
      </c>
      <c r="B16" s="40">
        <f>Overview!G16</f>
        <v>1005.383</v>
      </c>
      <c r="C16" s="12" t="s">
        <v>169</v>
      </c>
      <c r="D16" s="13" t="s">
        <v>651</v>
      </c>
    </row>
    <row r="17" spans="1:4" ht="29.5" customHeight="1" x14ac:dyDescent="0.35">
      <c r="A17" s="4" t="str">
        <f>Overview!A17</f>
        <v>GDP (2020) - current prices (LCU million)- post COVID</v>
      </c>
      <c r="B17" s="40">
        <f>Overview!G17</f>
        <v>1074.4000000000001</v>
      </c>
      <c r="C17" s="12" t="s">
        <v>244</v>
      </c>
      <c r="D17" s="15" t="s">
        <v>486</v>
      </c>
    </row>
    <row r="18" spans="1:4" ht="66.650000000000006" customHeight="1" x14ac:dyDescent="0.35">
      <c r="A18" s="4" t="str">
        <f>Overview!A18</f>
        <v>Projected revenue - pre-COVID (in million LCU)</v>
      </c>
      <c r="B18" s="81">
        <f>Overview!G18</f>
        <v>578.20000000000005</v>
      </c>
      <c r="C18" s="13" t="s">
        <v>244</v>
      </c>
      <c r="D18" s="13" t="s">
        <v>504</v>
      </c>
    </row>
    <row r="19" spans="1:4" ht="110.5" customHeight="1" x14ac:dyDescent="0.35">
      <c r="A19" s="4" t="str">
        <f>Overview!A19</f>
        <v>Projected revenue - post-COVID (in million LCU)</v>
      </c>
      <c r="B19" s="40">
        <f>Overview!G19</f>
        <v>435.2</v>
      </c>
      <c r="C19" s="26" t="s">
        <v>244</v>
      </c>
      <c r="D19" s="13" t="s">
        <v>285</v>
      </c>
    </row>
    <row r="20" spans="1:4" ht="52.5" customHeight="1" x14ac:dyDescent="0.35">
      <c r="A20" s="4" t="str">
        <f>Overview!A20</f>
        <v>Fall in domestic revenue as % of domestic revenue</v>
      </c>
      <c r="B20" s="90">
        <f>Overview!G20</f>
        <v>0.18645731108930325</v>
      </c>
      <c r="C20" s="158" t="s">
        <v>169</v>
      </c>
      <c r="D20" s="13" t="s">
        <v>520</v>
      </c>
    </row>
    <row r="21" spans="1:4" ht="68.150000000000006" customHeight="1" x14ac:dyDescent="0.35">
      <c r="A21" s="4" t="str">
        <f>Overview!A21</f>
        <v>Debt (% GDP) (post-COVID)</v>
      </c>
      <c r="B21" s="55">
        <f>Overview!G21</f>
        <v>0.46100000000000002</v>
      </c>
      <c r="C21" s="59" t="s">
        <v>317</v>
      </c>
      <c r="D21" s="13" t="s">
        <v>439</v>
      </c>
    </row>
    <row r="22" spans="1:4" ht="91.5" customHeight="1" x14ac:dyDescent="0.35">
      <c r="A22" s="4" t="str">
        <f>Overview!A22</f>
        <v>Risk of external debt distress (pre-COVID)</v>
      </c>
      <c r="B22" s="55" t="str">
        <f>Overview!G22</f>
        <v>High</v>
      </c>
      <c r="C22" s="59" t="s">
        <v>467</v>
      </c>
      <c r="D22" s="13" t="s">
        <v>480</v>
      </c>
    </row>
    <row r="23" spans="1:4" ht="63" customHeight="1" x14ac:dyDescent="0.35">
      <c r="A23" s="4" t="str">
        <f>Overview!A23</f>
        <v>Risk of external debt distress (post-COVID)</v>
      </c>
      <c r="B23" s="55" t="str">
        <f>Overview!G23</f>
        <v>High</v>
      </c>
      <c r="C23" s="59" t="s">
        <v>468</v>
      </c>
      <c r="D23" s="13" t="s">
        <v>481</v>
      </c>
    </row>
    <row r="24" spans="1:4" x14ac:dyDescent="0.35">
      <c r="A24" s="97" t="str">
        <f>Overview!A24</f>
        <v>C. STIMULUS PACKAGE - OVERALL SIZE</v>
      </c>
      <c r="B24" s="4"/>
    </row>
    <row r="25" spans="1:4" ht="105.65" customHeight="1" x14ac:dyDescent="0.35">
      <c r="A25" s="4" t="str">
        <f>Overview!A25</f>
        <v>Stimulus Package (in million LCU)</v>
      </c>
      <c r="B25" s="45">
        <f>Overview!G25</f>
        <v>60</v>
      </c>
      <c r="C25" s="26" t="s">
        <v>109</v>
      </c>
      <c r="D25" s="13" t="s">
        <v>111</v>
      </c>
    </row>
    <row r="26" spans="1:4" ht="29.15" customHeight="1" x14ac:dyDescent="0.35">
      <c r="A26" s="4" t="str">
        <f>Overview!A26</f>
        <v>Stimulus Package (in million USD)</v>
      </c>
      <c r="B26" s="40">
        <f>Overview!G26</f>
        <v>26.431718061674008</v>
      </c>
      <c r="C26" s="15" t="s">
        <v>291</v>
      </c>
      <c r="D26" s="15" t="s">
        <v>652</v>
      </c>
    </row>
    <row r="27" spans="1:4" ht="25.5" customHeight="1" x14ac:dyDescent="0.35">
      <c r="A27" s="4" t="str">
        <f>Overview!A27</f>
        <v>Stimulus Package (% GDP)</v>
      </c>
      <c r="B27" s="55">
        <f>Overview!G27</f>
        <v>6.1469111771334906E-2</v>
      </c>
      <c r="C27" s="12" t="s">
        <v>291</v>
      </c>
      <c r="D27" s="12" t="s">
        <v>653</v>
      </c>
    </row>
    <row r="28" spans="1:4" ht="34" customHeight="1" x14ac:dyDescent="0.35">
      <c r="A28" s="3" t="str">
        <f>Overview!A28</f>
        <v>Stimulus per capita (USD per capita)</v>
      </c>
      <c r="B28" s="71">
        <f>Overview!G28</f>
        <v>256.12874465027096</v>
      </c>
      <c r="C28" s="15" t="s">
        <v>291</v>
      </c>
      <c r="D28" s="15" t="s">
        <v>654</v>
      </c>
    </row>
    <row r="29" spans="1:4" x14ac:dyDescent="0.35">
      <c r="A29" s="98" t="str">
        <f>Overview!A29</f>
        <v>D. FISCAL POLICY</v>
      </c>
      <c r="B29" s="72"/>
    </row>
    <row r="30" spans="1:4" x14ac:dyDescent="0.35">
      <c r="A30" s="101" t="str">
        <f>Overview!A30</f>
        <v>D1. TAX</v>
      </c>
      <c r="B30" s="73"/>
    </row>
    <row r="31" spans="1:4" x14ac:dyDescent="0.35">
      <c r="A31" s="3" t="str">
        <f>Overview!A31</f>
        <v>Tax deadline extension</v>
      </c>
      <c r="B31" s="74" t="str">
        <f>Overview!G31</f>
        <v>No</v>
      </c>
      <c r="C31" s="15" t="s">
        <v>603</v>
      </c>
      <c r="D31" s="15" t="s">
        <v>603</v>
      </c>
    </row>
    <row r="32" spans="1:4" x14ac:dyDescent="0.35">
      <c r="A32" s="3" t="str">
        <f>Overview!A32</f>
        <v>Priority processing of GST refunds</v>
      </c>
      <c r="B32" s="74" t="str">
        <f>Overview!G32</f>
        <v>No</v>
      </c>
      <c r="C32" s="15" t="s">
        <v>603</v>
      </c>
      <c r="D32" s="15" t="s">
        <v>603</v>
      </c>
    </row>
    <row r="33" spans="1:4" ht="115.5" customHeight="1" x14ac:dyDescent="0.35">
      <c r="A33" s="3" t="str">
        <f>Overview!A33</f>
        <v>Tax cuts</v>
      </c>
      <c r="B33" s="74" t="str">
        <f>Overview!G33</f>
        <v>Yes</v>
      </c>
      <c r="C33" s="26" t="s">
        <v>195</v>
      </c>
      <c r="D33" s="13" t="s">
        <v>194</v>
      </c>
    </row>
    <row r="34" spans="1:4" x14ac:dyDescent="0.35">
      <c r="A34" s="101" t="str">
        <f>Overview!A34</f>
        <v xml:space="preserve">D2. EXPENDITURE </v>
      </c>
      <c r="B34" s="74"/>
      <c r="C34" s="12"/>
    </row>
    <row r="35" spans="1:4" ht="135" customHeight="1" x14ac:dyDescent="0.35">
      <c r="A35" s="101" t="str">
        <f>Overview!A35</f>
        <v>Additional expenditure (in million LCU)</v>
      </c>
      <c r="B35" s="74">
        <f>Overview!G35</f>
        <v>60</v>
      </c>
      <c r="C35" s="12" t="s">
        <v>172</v>
      </c>
      <c r="D35" s="13" t="s">
        <v>274</v>
      </c>
    </row>
    <row r="36" spans="1:4" ht="36" customHeight="1" x14ac:dyDescent="0.35">
      <c r="A36" s="4" t="str">
        <f>Overview!A36</f>
        <v>Unemployment/cash benefits</v>
      </c>
      <c r="B36" s="74" t="str">
        <f>Overview!G36</f>
        <v>Yes</v>
      </c>
      <c r="C36" s="12" t="s">
        <v>195</v>
      </c>
      <c r="D36" s="13" t="s">
        <v>270</v>
      </c>
    </row>
    <row r="37" spans="1:4" ht="21.65" customHeight="1" x14ac:dyDescent="0.35">
      <c r="A37" s="4" t="str">
        <f>Overview!A37</f>
        <v>Expenditure (in million USD)</v>
      </c>
      <c r="B37" s="75">
        <f>Overview!G37</f>
        <v>26.431718061674008</v>
      </c>
      <c r="C37" s="12" t="s">
        <v>291</v>
      </c>
      <c r="D37" s="15" t="s">
        <v>271</v>
      </c>
    </row>
    <row r="38" spans="1:4" ht="55.5" customHeight="1" x14ac:dyDescent="0.35">
      <c r="A38" s="4" t="str">
        <f>Overview!A38</f>
        <v>Health expenditure (in million USD)</v>
      </c>
      <c r="B38" s="75">
        <f>Overview!G38</f>
        <v>8.5</v>
      </c>
      <c r="C38" s="12" t="s">
        <v>316</v>
      </c>
      <c r="D38" s="15" t="s">
        <v>314</v>
      </c>
    </row>
    <row r="39" spans="1:4" ht="25" customHeight="1" x14ac:dyDescent="0.35">
      <c r="A39" s="4" t="str">
        <f>Overview!A39</f>
        <v>Food security expenditure (in million USD)</v>
      </c>
      <c r="B39" s="75">
        <f>Overview!G39</f>
        <v>1.41</v>
      </c>
      <c r="C39" s="12" t="s">
        <v>172</v>
      </c>
      <c r="D39" s="15" t="s">
        <v>315</v>
      </c>
    </row>
    <row r="40" spans="1:4" ht="71.5" customHeight="1" x14ac:dyDescent="0.35">
      <c r="A40" s="4" t="str">
        <f>Overview!A40</f>
        <v>Safety net expenditure (in million USD)</v>
      </c>
      <c r="B40" s="75">
        <f>Overview!G40</f>
        <v>2.2000000000000002</v>
      </c>
      <c r="C40" s="12" t="s">
        <v>317</v>
      </c>
      <c r="D40" s="13" t="s">
        <v>400</v>
      </c>
    </row>
    <row r="41" spans="1:4" ht="85" customHeight="1" x14ac:dyDescent="0.35">
      <c r="A41" s="4" t="str">
        <f>Overview!A41</f>
        <v>Business support expenditure (in million USD)</v>
      </c>
      <c r="B41" s="75">
        <f>Overview!G41</f>
        <v>7.6651982378854617</v>
      </c>
      <c r="C41" s="12" t="s">
        <v>317</v>
      </c>
      <c r="D41" s="13" t="s">
        <v>585</v>
      </c>
    </row>
    <row r="42" spans="1:4" ht="59.5" customHeight="1" x14ac:dyDescent="0.35">
      <c r="A42" s="4" t="str">
        <f>Overview!A42</f>
        <v>Infrastructure expenditure (in million USD)</v>
      </c>
      <c r="B42" s="75">
        <f>Overview!G42</f>
        <v>1.7621145374449338</v>
      </c>
      <c r="C42" s="12" t="s">
        <v>317</v>
      </c>
      <c r="D42" s="13" t="s">
        <v>586</v>
      </c>
    </row>
    <row r="43" spans="1:4" x14ac:dyDescent="0.35">
      <c r="A43" s="4" t="str">
        <f>Overview!A43</f>
        <v>Expenditure (% GDP)</v>
      </c>
      <c r="B43" s="76">
        <f>Overview!G43</f>
        <v>5.9678749292558154E-2</v>
      </c>
      <c r="C43" s="12" t="s">
        <v>291</v>
      </c>
      <c r="D43" s="15" t="s">
        <v>272</v>
      </c>
    </row>
    <row r="44" spans="1:4" x14ac:dyDescent="0.35">
      <c r="A44" s="4" t="str">
        <f>Overview!A44</f>
        <v>Expenditure per capita (USD per capita)</v>
      </c>
      <c r="B44" s="40">
        <f>Overview!G44</f>
        <v>256.1287446502709</v>
      </c>
      <c r="C44" s="15" t="s">
        <v>291</v>
      </c>
      <c r="D44" s="15" t="s">
        <v>273</v>
      </c>
    </row>
    <row r="45" spans="1:4" x14ac:dyDescent="0.35">
      <c r="A45" s="101" t="str">
        <f>Overview!A45</f>
        <v>D3. FINANCING</v>
      </c>
      <c r="B45" s="23" t="str">
        <f>Overview!G45</f>
        <v>Yes</v>
      </c>
    </row>
    <row r="46" spans="1:4" ht="113.15" customHeight="1" x14ac:dyDescent="0.35">
      <c r="A46" s="4" t="str">
        <f>Overview!A46</f>
        <v>Additional borrowing (in million LCU)</v>
      </c>
      <c r="B46" s="23">
        <f>Overview!G46</f>
        <v>30</v>
      </c>
      <c r="C46" s="26" t="s">
        <v>169</v>
      </c>
      <c r="D46" s="13" t="s">
        <v>220</v>
      </c>
    </row>
    <row r="47" spans="1:4" ht="58.5" customHeight="1" x14ac:dyDescent="0.35">
      <c r="A47" s="4" t="str">
        <f>Overview!A47</f>
        <v>Projected deficit (in million LCU)</v>
      </c>
      <c r="B47" s="23">
        <f>Overview!G47</f>
        <v>16.899999999999999</v>
      </c>
      <c r="C47" s="13" t="s">
        <v>169</v>
      </c>
      <c r="D47" s="13" t="s">
        <v>196</v>
      </c>
    </row>
    <row r="48" spans="1:4" ht="69.650000000000006" customHeight="1" x14ac:dyDescent="0.35">
      <c r="A48" s="4" t="str">
        <f>Overview!A48</f>
        <v>Fiscal balance (%GDP)</v>
      </c>
      <c r="B48" s="55">
        <f>Overview!G48</f>
        <v>-1.6E-2</v>
      </c>
      <c r="C48" s="13" t="s">
        <v>244</v>
      </c>
      <c r="D48" s="13" t="s">
        <v>441</v>
      </c>
    </row>
    <row r="49" spans="1:4" x14ac:dyDescent="0.35">
      <c r="A49" s="97" t="str">
        <f>Overview!A49</f>
        <v>E.  SUPERANNUATION MEASURES</v>
      </c>
      <c r="B49" s="4"/>
    </row>
    <row r="50" spans="1:4" x14ac:dyDescent="0.35">
      <c r="A50" s="3" t="str">
        <f>Overview!A50</f>
        <v>Early access</v>
      </c>
      <c r="B50" s="74" t="str">
        <f>Overview!G50</f>
        <v>No</v>
      </c>
    </row>
    <row r="51" spans="1:4" ht="53.15" customHeight="1" x14ac:dyDescent="0.35">
      <c r="A51" s="3" t="str">
        <f>Overview!A51</f>
        <v>Deferred contributions</v>
      </c>
      <c r="B51" s="77" t="str">
        <f>Overview!G51</f>
        <v>Yes</v>
      </c>
      <c r="C51" s="12" t="s">
        <v>67</v>
      </c>
      <c r="D51" s="13" t="s">
        <v>68</v>
      </c>
    </row>
    <row r="52" spans="1:4" x14ac:dyDescent="0.35">
      <c r="A52" s="97" t="str">
        <f>Overview!A52</f>
        <v>F. BANK LENDING</v>
      </c>
      <c r="B52" s="78"/>
    </row>
    <row r="53" spans="1:4" ht="62.15" customHeight="1" x14ac:dyDescent="0.35">
      <c r="A53" s="3" t="str">
        <f>Overview!A53</f>
        <v>Credit line</v>
      </c>
      <c r="B53" s="36" t="str">
        <f>Overview!G53</f>
        <v>Yes</v>
      </c>
      <c r="C53" s="59" t="s">
        <v>66</v>
      </c>
      <c r="D53" s="13" t="s">
        <v>69</v>
      </c>
    </row>
    <row r="54" spans="1:4" ht="121.5" customHeight="1" x14ac:dyDescent="0.35">
      <c r="A54" s="3" t="str">
        <f>Overview!A54</f>
        <v>Loan repayment holiday</v>
      </c>
      <c r="B54" s="36" t="str">
        <f>Overview!G54</f>
        <v>Yes</v>
      </c>
      <c r="C54" s="12" t="s">
        <v>108</v>
      </c>
      <c r="D54" s="13" t="s">
        <v>107</v>
      </c>
    </row>
    <row r="55" spans="1:4" x14ac:dyDescent="0.35">
      <c r="A55" s="97" t="str">
        <f>Overview!A55</f>
        <v>G. MONETARY POLICY</v>
      </c>
      <c r="B55" s="36"/>
    </row>
    <row r="56" spans="1:4" ht="22.5" customHeight="1" x14ac:dyDescent="0.35">
      <c r="A56" s="4" t="str">
        <f>Overview!A56</f>
        <v>Monetary policy relaxed</v>
      </c>
      <c r="B56" s="36" t="str">
        <f>Overview!G56</f>
        <v>No</v>
      </c>
      <c r="C56" s="12" t="s">
        <v>603</v>
      </c>
      <c r="D56" s="13" t="s">
        <v>603</v>
      </c>
    </row>
    <row r="57" spans="1:4" x14ac:dyDescent="0.35">
      <c r="A57" s="3" t="str">
        <f>Overview!A57</f>
        <v>Cash Reserves requirement lowered</v>
      </c>
      <c r="B57" s="36" t="str">
        <f>Overview!G57</f>
        <v>No</v>
      </c>
      <c r="C57" s="12" t="s">
        <v>603</v>
      </c>
      <c r="D57" s="13" t="s">
        <v>603</v>
      </c>
    </row>
    <row r="58" spans="1:4" x14ac:dyDescent="0.35">
      <c r="A58" s="3" t="str">
        <f>Overview!A58</f>
        <v>Discount rate lowered</v>
      </c>
      <c r="B58" s="36" t="str">
        <f>Overview!G58</f>
        <v>No</v>
      </c>
      <c r="C58" s="12" t="s">
        <v>603</v>
      </c>
      <c r="D58" s="13" t="s">
        <v>603</v>
      </c>
    </row>
    <row r="59" spans="1:4" x14ac:dyDescent="0.35">
      <c r="A59" s="3" t="str">
        <f>Overview!A59</f>
        <v>Open market purchases</v>
      </c>
      <c r="B59" s="36" t="str">
        <f>Overview!G59</f>
        <v>No</v>
      </c>
      <c r="C59" s="12" t="s">
        <v>603</v>
      </c>
      <c r="D59" s="13" t="s">
        <v>603</v>
      </c>
    </row>
    <row r="60" spans="1:4" ht="116.15" customHeight="1" x14ac:dyDescent="0.35">
      <c r="A60" s="98" t="str">
        <f>Overview!A60</f>
        <v>H. EXCHANGE RATE/RESERVES POLICY (depreciation/appreciation between 1 March 2020 and 22 July 2020)</v>
      </c>
      <c r="B60" s="36" t="str">
        <f>Overview!G60</f>
        <v>No measures; 
Tongan dollar has appreciated against USD by 5.3%.</v>
      </c>
      <c r="C60" s="12" t="s">
        <v>90</v>
      </c>
      <c r="D60" s="13" t="s">
        <v>228</v>
      </c>
    </row>
    <row r="61" spans="1:4" ht="35.15" customHeight="1" x14ac:dyDescent="0.35">
      <c r="A61" s="98" t="str">
        <f>Overview!A61</f>
        <v>I. EXTERNAL ASSISTANCE from outbreak to 12 August 2020 (in million USD)</v>
      </c>
      <c r="B61" s="25">
        <f>Overview!G61</f>
        <v>41.590378999999999</v>
      </c>
      <c r="C61" s="15" t="s">
        <v>291</v>
      </c>
      <c r="D61" s="15" t="s">
        <v>624</v>
      </c>
    </row>
    <row r="62" spans="1:4" ht="64.5" customHeight="1" x14ac:dyDescent="0.35">
      <c r="A62" s="72" t="str">
        <f>Overview!A62</f>
        <v>External assistance assumed at the time of the stimulus package (in million LCU)</v>
      </c>
      <c r="B62" s="25">
        <f>Overview!G62</f>
        <v>46.5</v>
      </c>
      <c r="C62" s="13" t="s">
        <v>244</v>
      </c>
      <c r="D62" s="13" t="s">
        <v>522</v>
      </c>
    </row>
    <row r="63" spans="1:4" ht="26.15" customHeight="1" x14ac:dyDescent="0.35">
      <c r="A63" s="4" t="str">
        <f>Overview!A63</f>
        <v>External assistance as % GDP</v>
      </c>
      <c r="B63" s="47">
        <f>Overview!G63</f>
        <v>9.3904671483404825E-2</v>
      </c>
      <c r="C63" s="15" t="s">
        <v>291</v>
      </c>
      <c r="D63" s="15" t="s">
        <v>605</v>
      </c>
    </row>
    <row r="64" spans="1:4" ht="139.5" customHeight="1" x14ac:dyDescent="0.35">
      <c r="A64" s="3" t="str">
        <f>Overview!A64</f>
        <v>ADB (in million USD)</v>
      </c>
      <c r="B64" s="12">
        <f>Overview!G64</f>
        <v>18.669999999999998</v>
      </c>
      <c r="C64" s="26" t="s">
        <v>1096</v>
      </c>
      <c r="D64" s="13" t="s">
        <v>256</v>
      </c>
    </row>
    <row r="65" spans="1:4" ht="170.5" customHeight="1" x14ac:dyDescent="0.35">
      <c r="A65" s="3" t="str">
        <f>Overview!A65</f>
        <v>World Bank (in million USD)</v>
      </c>
      <c r="B65" s="91">
        <f>Overview!G65</f>
        <v>11.392000000000001</v>
      </c>
      <c r="C65" s="12" t="s">
        <v>1102</v>
      </c>
      <c r="D65" s="13" t="s">
        <v>258</v>
      </c>
    </row>
    <row r="66" spans="1:4" x14ac:dyDescent="0.35">
      <c r="A66" s="3" t="str">
        <f>Overview!A66</f>
        <v>IMF (in million USD)</v>
      </c>
      <c r="B66" s="19">
        <f>Overview!G66</f>
        <v>0</v>
      </c>
      <c r="C66" s="15" t="s">
        <v>603</v>
      </c>
      <c r="D66" s="15" t="s">
        <v>603</v>
      </c>
    </row>
    <row r="67" spans="1:4" ht="209.15" customHeight="1" x14ac:dyDescent="0.35">
      <c r="A67" s="3" t="str">
        <f>Overview!A67</f>
        <v>Assistance from Australia (in million USD)</v>
      </c>
      <c r="B67" s="25">
        <f>Overview!G67</f>
        <v>8.43</v>
      </c>
      <c r="C67" s="12" t="s">
        <v>1103</v>
      </c>
      <c r="D67" s="13" t="s">
        <v>282</v>
      </c>
    </row>
    <row r="68" spans="1:4" ht="68.5" customHeight="1" x14ac:dyDescent="0.35">
      <c r="A68" s="3" t="str">
        <f>Overview!A68</f>
        <v>Assistance from other countries and organisations (in million USD)</v>
      </c>
      <c r="B68" s="40">
        <f>Overview!G68</f>
        <v>3.098379</v>
      </c>
      <c r="C68" s="13" t="s">
        <v>1096</v>
      </c>
      <c r="D68" s="13" t="s">
        <v>257</v>
      </c>
    </row>
    <row r="69" spans="1:4" x14ac:dyDescent="0.35">
      <c r="A69" s="3"/>
    </row>
    <row r="70" spans="1:4" x14ac:dyDescent="0.35">
      <c r="A70" s="79"/>
      <c r="B70" s="80"/>
    </row>
    <row r="71" spans="1:4" x14ac:dyDescent="0.35">
      <c r="A71" s="85"/>
      <c r="B71" s="8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Introduction</vt:lpstr>
      <vt:lpstr>Definitions</vt:lpstr>
      <vt:lpstr>Overview</vt:lpstr>
      <vt:lpstr>Fiji</vt:lpstr>
      <vt:lpstr>PNG</vt:lpstr>
      <vt:lpstr>Samoa </vt:lpstr>
      <vt:lpstr>Solomon Islands</vt:lpstr>
      <vt:lpstr>Timor-Leste </vt:lpstr>
      <vt:lpstr>Tonga </vt:lpstr>
      <vt:lpstr>Vanuatu</vt:lpstr>
      <vt:lpstr>Budget 2020-21 data</vt:lpstr>
      <vt:lpstr>Budget 2020-21 workings</vt:lpstr>
      <vt:lpstr>Funding summary</vt:lpstr>
      <vt:lpstr>Expenditure,external assistance</vt:lpstr>
      <vt:lpstr>Revenue analysis</vt:lpstr>
      <vt:lpstr>Sectoral expenditure analysis</vt:lpstr>
      <vt:lpstr>Fiscal balance </vt:lpstr>
      <vt:lpstr>Real GDP growth</vt:lpstr>
      <vt:lpstr>GDP growth (pre &amp; post COVID)</vt:lpstr>
      <vt:lpstr>GDP per capita (const 2010 USD)</vt:lpstr>
      <vt:lpstr>Remittances</vt:lpstr>
      <vt:lpstr>Risk of external debt distress</vt:lpstr>
      <vt:lpstr>Commodity prices</vt:lpstr>
      <vt:lpstr>Tourism reliance analysis</vt:lpstr>
      <vt:lpstr>ODA as % of GNI</vt:lpstr>
      <vt:lpstr>Useful documents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sherman</dc:creator>
  <cp:lastModifiedBy>sherman</cp:lastModifiedBy>
  <dcterms:created xsi:type="dcterms:W3CDTF">2020-05-15T06:08:59Z</dcterms:created>
  <dcterms:modified xsi:type="dcterms:W3CDTF">2020-09-03T00:03:54Z</dcterms:modified>
</cp:coreProperties>
</file>