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ropbox\Dropbox (Devpolicy)\Devpolicy SH\Blogs\"/>
    </mc:Choice>
  </mc:AlternateContent>
  <bookViews>
    <workbookView xWindow="0" yWindow="0" windowWidth="28800" windowHeight="120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P15" i="1"/>
  <c r="O15" i="1"/>
  <c r="N15" i="1"/>
  <c r="M15" i="1"/>
  <c r="L15" i="1"/>
  <c r="J15" i="1"/>
  <c r="I15" i="1"/>
  <c r="H15" i="1"/>
  <c r="G15" i="1"/>
  <c r="F15" i="1"/>
  <c r="E15" i="1"/>
  <c r="D15" i="1"/>
  <c r="C15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54" i="1" l="1"/>
  <c r="C53" i="1"/>
  <c r="C52" i="1"/>
  <c r="C51" i="1"/>
  <c r="C48" i="1"/>
  <c r="C55" i="1" s="1"/>
  <c r="P40" i="1"/>
  <c r="O40" i="1"/>
  <c r="N40" i="1"/>
  <c r="M40" i="1"/>
  <c r="L40" i="1"/>
  <c r="K40" i="1"/>
  <c r="J40" i="1"/>
  <c r="I40" i="1"/>
  <c r="P39" i="1"/>
  <c r="O39" i="1"/>
  <c r="N39" i="1"/>
  <c r="M39" i="1"/>
  <c r="L39" i="1"/>
  <c r="K39" i="1"/>
  <c r="J39" i="1"/>
  <c r="I39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66" i="1"/>
  <c r="B66" i="1"/>
  <c r="D66" i="1" l="1"/>
  <c r="F31" i="1"/>
  <c r="F30" i="1"/>
  <c r="E31" i="1"/>
  <c r="E30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D59" i="1"/>
  <c r="E59" i="1"/>
  <c r="C59" i="1"/>
  <c r="B59" i="1"/>
  <c r="A52" i="1"/>
  <c r="B52" i="1"/>
  <c r="E52" i="1" s="1"/>
  <c r="D52" i="1"/>
  <c r="A53" i="1"/>
  <c r="B53" i="1"/>
  <c r="E53" i="1" s="1"/>
  <c r="D53" i="1"/>
  <c r="A54" i="1"/>
  <c r="B54" i="1"/>
  <c r="E54" i="1" s="1"/>
  <c r="D54" i="1"/>
  <c r="F54" i="1" s="1"/>
  <c r="A55" i="1"/>
  <c r="B55" i="1"/>
  <c r="E55" i="1" s="1"/>
  <c r="D55" i="1"/>
  <c r="A51" i="1"/>
  <c r="D51" i="1"/>
  <c r="B51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P24" i="1"/>
  <c r="P25" i="1" s="1"/>
  <c r="O24" i="1"/>
  <c r="O25" i="1" s="1"/>
  <c r="N24" i="1"/>
  <c r="N25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G24" i="1"/>
  <c r="G25" i="1" s="1"/>
  <c r="F24" i="1"/>
  <c r="F25" i="1" s="1"/>
  <c r="E24" i="1"/>
  <c r="E25" i="1" s="1"/>
  <c r="D24" i="1"/>
  <c r="D25" i="1" s="1"/>
  <c r="C24" i="1"/>
  <c r="C25" i="1" s="1"/>
  <c r="B36" i="1"/>
  <c r="B37" i="1" s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I29" i="1"/>
  <c r="J29" i="1"/>
  <c r="K29" i="1"/>
  <c r="L29" i="1"/>
  <c r="M29" i="1"/>
  <c r="N29" i="1"/>
  <c r="O29" i="1"/>
  <c r="P29" i="1"/>
  <c r="H29" i="1"/>
  <c r="P31" i="1"/>
  <c r="O31" i="1"/>
  <c r="N31" i="1"/>
  <c r="M31" i="1"/>
  <c r="L31" i="1"/>
  <c r="K31" i="1"/>
  <c r="J31" i="1"/>
  <c r="I31" i="1"/>
  <c r="H31" i="1"/>
  <c r="P30" i="1"/>
  <c r="O30" i="1"/>
  <c r="N30" i="1"/>
  <c r="M30" i="1"/>
  <c r="L30" i="1"/>
  <c r="K30" i="1"/>
  <c r="J30" i="1"/>
  <c r="I30" i="1"/>
  <c r="H30" i="1"/>
  <c r="G4" i="1"/>
  <c r="F4" i="1" s="1"/>
  <c r="E4" i="1" s="1"/>
  <c r="D4" i="1" s="1"/>
  <c r="C4" i="1" s="1"/>
  <c r="P36" i="1" l="1"/>
  <c r="K37" i="1"/>
  <c r="O37" i="1"/>
  <c r="E19" i="1"/>
  <c r="I19" i="1"/>
  <c r="M19" i="1"/>
  <c r="E32" i="1"/>
  <c r="F19" i="1"/>
  <c r="J19" i="1"/>
  <c r="N19" i="1"/>
  <c r="I34" i="1"/>
  <c r="M34" i="1"/>
  <c r="G19" i="1"/>
  <c r="K19" i="1"/>
  <c r="O19" i="1"/>
  <c r="J34" i="1"/>
  <c r="N34" i="1"/>
  <c r="F51" i="1"/>
  <c r="F52" i="1"/>
  <c r="C61" i="1"/>
  <c r="D19" i="1"/>
  <c r="H19" i="1"/>
  <c r="L19" i="1"/>
  <c r="B40" i="1"/>
  <c r="L36" i="1"/>
  <c r="I36" i="1"/>
  <c r="M36" i="1"/>
  <c r="L37" i="1"/>
  <c r="P37" i="1"/>
  <c r="F53" i="1"/>
  <c r="P19" i="1"/>
  <c r="C62" i="1"/>
  <c r="F55" i="1"/>
  <c r="E51" i="1"/>
  <c r="F32" i="1"/>
  <c r="L33" i="1"/>
  <c r="P33" i="1"/>
  <c r="L34" i="1"/>
  <c r="P34" i="1"/>
  <c r="B31" i="1"/>
  <c r="I33" i="1"/>
  <c r="M33" i="1"/>
  <c r="J36" i="1"/>
  <c r="N36" i="1"/>
  <c r="I37" i="1"/>
  <c r="M37" i="1"/>
  <c r="B30" i="1"/>
  <c r="J33" i="1"/>
  <c r="N33" i="1"/>
  <c r="K36" i="1"/>
  <c r="O36" i="1"/>
  <c r="J37" i="1"/>
  <c r="N37" i="1"/>
  <c r="K33" i="1"/>
  <c r="O33" i="1"/>
  <c r="K34" i="1"/>
  <c r="O34" i="1"/>
</calcChain>
</file>

<file path=xl/sharedStrings.xml><?xml version="1.0" encoding="utf-8"?>
<sst xmlns="http://schemas.openxmlformats.org/spreadsheetml/2006/main" count="59" uniqueCount="56">
  <si>
    <t>Revenue</t>
  </si>
  <si>
    <t>Expenditure</t>
  </si>
  <si>
    <t>CPI</t>
  </si>
  <si>
    <t>Nominal GDP</t>
  </si>
  <si>
    <t>Nominal resource GDP</t>
  </si>
  <si>
    <t>Real GDP</t>
  </si>
  <si>
    <t>Real resource GDP</t>
  </si>
  <si>
    <t>Deficit</t>
  </si>
  <si>
    <t>Revenue growth 2021-2027</t>
  </si>
  <si>
    <t>Exp growth 2021-2027</t>
  </si>
  <si>
    <t>Banking levy</t>
  </si>
  <si>
    <t>Phone levy</t>
  </si>
  <si>
    <t>Total</t>
  </si>
  <si>
    <t>% GDP in 2022</t>
  </si>
  <si>
    <t>Resource revenue</t>
  </si>
  <si>
    <t>Aid</t>
  </si>
  <si>
    <t>Non-resource revenue</t>
  </si>
  <si>
    <t>Non-resource [revenue/GDP]</t>
  </si>
  <si>
    <t>Resource [revenue/GDP]</t>
  </si>
  <si>
    <t>Resource revenue/GDP</t>
  </si>
  <si>
    <t>Average 2014-19</t>
  </si>
  <si>
    <t>Non-resource [rev/GDP]</t>
  </si>
  <si>
    <t>Salaries</t>
  </si>
  <si>
    <t>G&amp;S</t>
  </si>
  <si>
    <t>Capital investment</t>
  </si>
  <si>
    <t>Interest</t>
  </si>
  <si>
    <t>Nominal</t>
  </si>
  <si>
    <t>Real</t>
  </si>
  <si>
    <t>Revenue growth</t>
  </si>
  <si>
    <t>Exp growth</t>
  </si>
  <si>
    <t>Sarlaries</t>
  </si>
  <si>
    <t>Salaries (real)</t>
  </si>
  <si>
    <t>2013-18</t>
  </si>
  <si>
    <t>2018-20</t>
  </si>
  <si>
    <t>GDP</t>
  </si>
  <si>
    <t>Non-resource GDP</t>
  </si>
  <si>
    <t>Real nnon-resource GDP</t>
  </si>
  <si>
    <t>2014-19</t>
  </si>
  <si>
    <t>22-27</t>
  </si>
  <si>
    <t>Resource GDP</t>
  </si>
  <si>
    <t>Non-resource GDP growth</t>
  </si>
  <si>
    <t>Real data adjusted for CPI in 2021 prices</t>
  </si>
  <si>
    <t>GST (taxes on goods and services)</t>
  </si>
  <si>
    <t>real GST</t>
  </si>
  <si>
    <t>Health</t>
  </si>
  <si>
    <t>Rev abs change</t>
  </si>
  <si>
    <t>Exp abs change</t>
  </si>
  <si>
    <t>Inflation</t>
  </si>
  <si>
    <t>Nominal rev</t>
  </si>
  <si>
    <t>Nominal exp</t>
  </si>
  <si>
    <t>Table 6, Vol 1</t>
  </si>
  <si>
    <t>GDP growth</t>
  </si>
  <si>
    <t>2021-27</t>
  </si>
  <si>
    <t>2021-22</t>
  </si>
  <si>
    <t>Nom non-resource GDP</t>
  </si>
  <si>
    <t>Notes: data from 2021 onwards from 2022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</si>
</sst>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Fill="1" applyBorder="1"/>
    <xf numFmtId="164" fontId="1" fillId="0" borderId="0" xfId="1" applyNumberFormat="1" applyFont="1" applyFill="1" applyBorder="1"/>
    <xf numFmtId="9" fontId="0" fillId="0" borderId="0" xfId="1" applyFont="1"/>
    <xf numFmtId="164" fontId="0" fillId="0" borderId="0" xfId="1" applyNumberFormat="1" applyFont="1"/>
    <xf numFmtId="10" fontId="0" fillId="0" borderId="0" xfId="1" applyNumberFormat="1" applyFont="1"/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2" fontId="0" fillId="0" borderId="0" xfId="0" applyNumberFormat="1"/>
    <xf numFmtId="0" fontId="1" fillId="2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Sheet1!$G$30</c:f>
              <c:strCache>
                <c:ptCount val="1"/>
                <c:pt idx="0">
                  <c:v>Revenue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Sheet1!$H$29:$P$29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Sheet1!$H$30:$P$30</c:f>
              <c:numCache>
                <c:formatCode>General</c:formatCode>
                <c:ptCount val="9"/>
                <c:pt idx="0">
                  <c:v>15068.263115974412</c:v>
                </c:pt>
                <c:pt idx="1">
                  <c:v>12697.964999999998</c:v>
                </c:pt>
                <c:pt idx="2">
                  <c:v>13674.5</c:v>
                </c:pt>
                <c:pt idx="3">
                  <c:v>15331.628787878788</c:v>
                </c:pt>
                <c:pt idx="4">
                  <c:v>15889.774164797882</c:v>
                </c:pt>
                <c:pt idx="5">
                  <c:v>16717.128450080891</c:v>
                </c:pt>
                <c:pt idx="6">
                  <c:v>17786.858096168642</c:v>
                </c:pt>
                <c:pt idx="7">
                  <c:v>19078.981040365448</c:v>
                </c:pt>
                <c:pt idx="8">
                  <c:v>20505.4572647348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4-4F83-9ADF-E9E9651B6BF1}"/>
            </c:ext>
          </c:extLst>
        </c:ser>
        <c:ser>
          <c:idx val="1"/>
          <c:order val="1"/>
          <c:tx>
            <c:strRef>
              <c:f>Sheet1!$G$31</c:f>
              <c:strCache>
                <c:ptCount val="1"/>
                <c:pt idx="0">
                  <c:v>Expenditure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Sheet1!$H$29:$P$29</c:f>
              <c:numCache>
                <c:formatCode>General</c:formatCode>
                <c:ptCount val="9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</c:numCache>
            </c:numRef>
          </c:cat>
          <c:val>
            <c:numRef>
              <c:f>Sheet1!$H$31:$P$31</c:f>
              <c:numCache>
                <c:formatCode>General</c:formatCode>
                <c:ptCount val="9"/>
                <c:pt idx="0">
                  <c:v>19663.474820213676</c:v>
                </c:pt>
                <c:pt idx="1">
                  <c:v>20367.689999999999</c:v>
                </c:pt>
                <c:pt idx="2">
                  <c:v>20287.3</c:v>
                </c:pt>
                <c:pt idx="3">
                  <c:v>20998.863636363636</c:v>
                </c:pt>
                <c:pt idx="4">
                  <c:v>20188.962681846926</c:v>
                </c:pt>
                <c:pt idx="5">
                  <c:v>19964.468372011921</c:v>
                </c:pt>
                <c:pt idx="6">
                  <c:v>19991.408535254908</c:v>
                </c:pt>
                <c:pt idx="7">
                  <c:v>20197.465562462789</c:v>
                </c:pt>
                <c:pt idx="8">
                  <c:v>20469.863666342397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94-4F83-9ADF-E9E9651B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979791"/>
        <c:axId val="1548974383"/>
      </c:lineChart>
      <c:catAx>
        <c:axId val="1548979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74383"/>
        <c:crosses val="autoZero"/>
        <c:auto val="1"/>
        <c:lblAlgn val="ctr"/>
        <c:lblOffset val="100"/>
        <c:noMultiLvlLbl val="0"/>
      </c:catAx>
      <c:valAx>
        <c:axId val="1548974383"/>
        <c:scaling>
          <c:orientation val="minMax"/>
          <c:min val="1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8979791"/>
        <c:crosses val="autoZero"/>
        <c:crossBetween val="between"/>
        <c:dispUnits>
          <c:builtInUnit val="thousands"/>
          <c:dispUnitsLbl>
            <c:layout/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Kina billion (2021 prices)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42</xdr:row>
      <xdr:rowOff>28575</xdr:rowOff>
    </xdr:from>
    <xdr:to>
      <xdr:col>15</xdr:col>
      <xdr:colOff>333375</xdr:colOff>
      <xdr:row>56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workbookViewId="0">
      <selection activeCell="G55" sqref="G55"/>
    </sheetView>
  </sheetViews>
  <sheetFormatPr defaultRowHeight="15" x14ac:dyDescent="0.25"/>
  <cols>
    <col min="1" max="1" width="32" customWidth="1"/>
    <col min="2" max="7" width="14.28515625" customWidth="1"/>
  </cols>
  <sheetData>
    <row r="1" spans="1:16" x14ac:dyDescent="0.25">
      <c r="A1" t="s">
        <v>55</v>
      </c>
    </row>
    <row r="2" spans="1:16" x14ac:dyDescent="0.25">
      <c r="A2" t="s">
        <v>41</v>
      </c>
    </row>
    <row r="4" spans="1:16" x14ac:dyDescent="0.25">
      <c r="A4" s="1"/>
      <c r="B4" s="1">
        <v>2013</v>
      </c>
      <c r="C4" s="1">
        <f>D4-1</f>
        <v>2014</v>
      </c>
      <c r="D4" s="1">
        <f>E4-1</f>
        <v>2015</v>
      </c>
      <c r="E4" s="1">
        <f>F4-1</f>
        <v>2016</v>
      </c>
      <c r="F4" s="1">
        <f>G4-1</f>
        <v>2017</v>
      </c>
      <c r="G4" s="1">
        <f>H4-1</f>
        <v>2018</v>
      </c>
      <c r="H4" s="1">
        <v>2019</v>
      </c>
      <c r="I4" s="1">
        <v>2020</v>
      </c>
      <c r="J4" s="1">
        <v>2021</v>
      </c>
      <c r="K4" s="1">
        <v>2022</v>
      </c>
      <c r="L4" s="1">
        <v>2023</v>
      </c>
      <c r="M4" s="1">
        <v>2024</v>
      </c>
      <c r="N4" s="1">
        <v>2025</v>
      </c>
      <c r="O4" s="1">
        <v>2026</v>
      </c>
      <c r="P4" s="1">
        <v>2027</v>
      </c>
    </row>
    <row r="5" spans="1:16" x14ac:dyDescent="0.25">
      <c r="A5" s="1" t="s">
        <v>0</v>
      </c>
      <c r="B5" s="1"/>
      <c r="C5" s="1">
        <v>11874.9</v>
      </c>
      <c r="D5" s="1">
        <v>11003.1</v>
      </c>
      <c r="E5" s="1">
        <v>10485.5</v>
      </c>
      <c r="F5" s="1">
        <v>11525.1</v>
      </c>
      <c r="G5" s="1">
        <v>14085.1</v>
      </c>
      <c r="H5" s="1">
        <v>13680.5</v>
      </c>
      <c r="I5" s="1">
        <v>12093.3</v>
      </c>
      <c r="J5" s="1">
        <v>13674.5</v>
      </c>
      <c r="K5" s="1">
        <v>16190.2</v>
      </c>
      <c r="L5" s="1">
        <v>17685.7</v>
      </c>
      <c r="M5" s="1">
        <v>19555.5</v>
      </c>
      <c r="N5" s="1">
        <v>21847.200000000001</v>
      </c>
      <c r="O5" s="1">
        <v>24606</v>
      </c>
      <c r="P5" s="1">
        <v>27768</v>
      </c>
    </row>
    <row r="6" spans="1:16" x14ac:dyDescent="0.25">
      <c r="A6" s="1" t="s">
        <v>14</v>
      </c>
      <c r="B6" s="1"/>
      <c r="C6" s="1">
        <v>1301.4000000000001</v>
      </c>
      <c r="D6" s="1">
        <v>651.79999999999995</v>
      </c>
      <c r="E6" s="1">
        <v>392.5</v>
      </c>
      <c r="F6" s="1">
        <v>675.9</v>
      </c>
      <c r="G6" s="1">
        <v>1428.5</v>
      </c>
      <c r="H6" s="1">
        <v>1141.9000000000001</v>
      </c>
      <c r="I6" s="1">
        <v>751.9</v>
      </c>
      <c r="J6" s="1">
        <v>1120.5999999999999</v>
      </c>
      <c r="K6" s="1">
        <v>1588.4</v>
      </c>
      <c r="L6" s="1">
        <v>1361</v>
      </c>
      <c r="M6" s="1">
        <v>1431.2</v>
      </c>
      <c r="N6" s="1">
        <v>1466.9</v>
      </c>
      <c r="O6" s="1">
        <v>1873.3</v>
      </c>
      <c r="P6" s="1">
        <v>2805</v>
      </c>
    </row>
    <row r="7" spans="1:16" x14ac:dyDescent="0.25">
      <c r="A7" s="1" t="s">
        <v>15</v>
      </c>
      <c r="B7" s="1"/>
      <c r="C7" s="1">
        <v>867.5</v>
      </c>
      <c r="D7" s="1">
        <v>819.5</v>
      </c>
      <c r="E7" s="1">
        <v>1430.1</v>
      </c>
      <c r="F7" s="1">
        <v>1439.9</v>
      </c>
      <c r="G7" s="1">
        <v>1835.7</v>
      </c>
      <c r="H7" s="1">
        <v>1775.6</v>
      </c>
      <c r="I7" s="1">
        <v>1425</v>
      </c>
      <c r="J7" s="1">
        <v>1643</v>
      </c>
      <c r="K7" s="1">
        <v>1824.9</v>
      </c>
      <c r="L7" s="1">
        <v>1724.9</v>
      </c>
      <c r="M7" s="1">
        <v>1774.9</v>
      </c>
      <c r="N7" s="1">
        <v>1824.9</v>
      </c>
      <c r="O7" s="1">
        <v>1975</v>
      </c>
      <c r="P7" s="1">
        <v>2175</v>
      </c>
    </row>
    <row r="8" spans="1:16" x14ac:dyDescent="0.25">
      <c r="A8" s="1" t="s">
        <v>1</v>
      </c>
      <c r="B8" s="1"/>
      <c r="C8" s="1">
        <v>15454.1</v>
      </c>
      <c r="D8" s="1">
        <v>13788.900000000001</v>
      </c>
      <c r="E8" s="1">
        <v>13572.5</v>
      </c>
      <c r="F8" s="1">
        <v>13319.8</v>
      </c>
      <c r="G8" s="1">
        <v>16134.2</v>
      </c>
      <c r="H8" s="1">
        <v>17852.5</v>
      </c>
      <c r="I8" s="1">
        <v>19397.8</v>
      </c>
      <c r="J8" s="1">
        <v>20287.3</v>
      </c>
      <c r="K8" s="1">
        <v>22174.799999999999</v>
      </c>
      <c r="L8" s="1">
        <v>22470.799999999999</v>
      </c>
      <c r="M8" s="1">
        <v>23354.2</v>
      </c>
      <c r="N8" s="1">
        <v>24555</v>
      </c>
      <c r="O8" s="1">
        <v>26048.5</v>
      </c>
      <c r="P8" s="1">
        <v>27719.8</v>
      </c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 t="s">
        <v>2</v>
      </c>
      <c r="B10" s="1">
        <v>105.8</v>
      </c>
      <c r="C10" s="1">
        <v>111.325</v>
      </c>
      <c r="D10" s="1">
        <v>118</v>
      </c>
      <c r="E10" s="1">
        <v>125.875</v>
      </c>
      <c r="F10" s="1">
        <v>132.69999999999999</v>
      </c>
      <c r="G10" s="1">
        <v>138.5049471876834</v>
      </c>
      <c r="H10" s="1">
        <v>143.94779665750053</v>
      </c>
      <c r="I10" s="1">
        <v>151</v>
      </c>
      <c r="J10" s="1">
        <v>158.55000000000001</v>
      </c>
      <c r="K10" s="1">
        <v>167.42880000000002</v>
      </c>
      <c r="L10" s="1">
        <v>176.46995520000004</v>
      </c>
      <c r="M10" s="1">
        <v>185.46992291520004</v>
      </c>
      <c r="N10" s="1">
        <v>194.74341906096006</v>
      </c>
      <c r="O10" s="1">
        <v>204.48059001400807</v>
      </c>
      <c r="P10" s="1">
        <v>214.7046195147085</v>
      </c>
    </row>
    <row r="11" spans="1:16" x14ac:dyDescent="0.25">
      <c r="A11" s="1" t="s">
        <v>47</v>
      </c>
      <c r="B11" s="1"/>
      <c r="C11" s="1"/>
      <c r="D11" s="2">
        <f>D10/C10-1</f>
        <v>5.9959577812710441E-2</v>
      </c>
      <c r="E11" s="2">
        <f t="shared" ref="E11:P11" si="0">E10/D10-1</f>
        <v>6.6737288135593209E-2</v>
      </c>
      <c r="F11" s="2">
        <f t="shared" si="0"/>
        <v>5.4220456802383188E-2</v>
      </c>
      <c r="G11" s="2">
        <f t="shared" si="0"/>
        <v>4.374489214531585E-2</v>
      </c>
      <c r="H11" s="2">
        <f t="shared" si="0"/>
        <v>3.9297148443670382E-2</v>
      </c>
      <c r="I11" s="2">
        <f t="shared" si="0"/>
        <v>4.8991394840721236E-2</v>
      </c>
      <c r="J11" s="2">
        <f t="shared" si="0"/>
        <v>5.0000000000000044E-2</v>
      </c>
      <c r="K11" s="2">
        <f t="shared" si="0"/>
        <v>5.600000000000005E-2</v>
      </c>
      <c r="L11" s="2">
        <f t="shared" si="0"/>
        <v>5.4000000000000048E-2</v>
      </c>
      <c r="M11" s="2">
        <f t="shared" si="0"/>
        <v>5.0999999999999934E-2</v>
      </c>
      <c r="N11" s="2">
        <f t="shared" si="0"/>
        <v>5.0000000000000044E-2</v>
      </c>
      <c r="O11" s="2">
        <f t="shared" si="0"/>
        <v>5.0000000000000044E-2</v>
      </c>
      <c r="P11" s="2">
        <f t="shared" si="0"/>
        <v>5.0000000000000044E-2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 t="s">
        <v>3</v>
      </c>
      <c r="B13" s="1"/>
      <c r="C13">
        <v>57130.773996167911</v>
      </c>
      <c r="D13">
        <v>60139.423724627697</v>
      </c>
      <c r="E13">
        <v>65038.16350455521</v>
      </c>
      <c r="F13">
        <v>72521.646086312743</v>
      </c>
      <c r="G13">
        <v>79404.670711350453</v>
      </c>
      <c r="H13">
        <v>83846</v>
      </c>
      <c r="I13">
        <v>85348.4</v>
      </c>
      <c r="J13">
        <v>93314.4</v>
      </c>
      <c r="K13">
        <v>101695.8</v>
      </c>
      <c r="L13">
        <v>109555.3</v>
      </c>
      <c r="M13">
        <v>116743.8</v>
      </c>
      <c r="N13">
        <v>125451.6</v>
      </c>
      <c r="O13">
        <v>134080.1</v>
      </c>
      <c r="P13">
        <v>145407.9</v>
      </c>
    </row>
    <row r="14" spans="1:16" x14ac:dyDescent="0.25">
      <c r="A14" s="1" t="s">
        <v>4</v>
      </c>
      <c r="B14" s="1"/>
      <c r="C14" s="1">
        <v>11958.658560890981</v>
      </c>
      <c r="D14" s="1">
        <v>14516.826063633009</v>
      </c>
      <c r="E14" s="1">
        <v>15520.101940065337</v>
      </c>
      <c r="F14" s="1">
        <v>19382.348125241209</v>
      </c>
      <c r="G14" s="1">
        <v>22125.149379055962</v>
      </c>
      <c r="H14" s="1">
        <v>23758.400000000001</v>
      </c>
      <c r="I14" s="1">
        <v>22451.999999999993</v>
      </c>
      <c r="J14" s="1">
        <v>23967</v>
      </c>
      <c r="K14" s="1">
        <f>K13-K15</f>
        <v>27145.699999999997</v>
      </c>
      <c r="L14" s="1">
        <v>27656</v>
      </c>
      <c r="M14" s="1">
        <v>27736</v>
      </c>
      <c r="N14" s="1">
        <v>28074.200000000012</v>
      </c>
      <c r="O14" s="1">
        <v>27162.100000000006</v>
      </c>
      <c r="P14" s="1">
        <v>27732.199999999997</v>
      </c>
    </row>
    <row r="15" spans="1:16" x14ac:dyDescent="0.25">
      <c r="A15" s="1" t="s">
        <v>54</v>
      </c>
      <c r="B15" s="1"/>
      <c r="C15" s="1">
        <f>C13-C14</f>
        <v>45172.11543527693</v>
      </c>
      <c r="D15" s="1">
        <f t="shared" ref="D15:P15" si="1">D13-D14</f>
        <v>45622.597660994688</v>
      </c>
      <c r="E15" s="1">
        <f t="shared" si="1"/>
        <v>49518.061564489872</v>
      </c>
      <c r="F15" s="1">
        <f t="shared" si="1"/>
        <v>53139.297961071534</v>
      </c>
      <c r="G15" s="1">
        <f t="shared" si="1"/>
        <v>57279.521332294491</v>
      </c>
      <c r="H15" s="1">
        <f t="shared" si="1"/>
        <v>60087.6</v>
      </c>
      <c r="I15" s="1">
        <f t="shared" si="1"/>
        <v>62896.4</v>
      </c>
      <c r="J15" s="1">
        <f t="shared" si="1"/>
        <v>69347.399999999994</v>
      </c>
      <c r="K15" s="1">
        <v>74550.100000000006</v>
      </c>
      <c r="L15" s="1">
        <f t="shared" si="1"/>
        <v>81899.3</v>
      </c>
      <c r="M15" s="1">
        <f t="shared" si="1"/>
        <v>89007.8</v>
      </c>
      <c r="N15" s="1">
        <f t="shared" si="1"/>
        <v>97377.4</v>
      </c>
      <c r="O15" s="1">
        <f t="shared" si="1"/>
        <v>106918</v>
      </c>
      <c r="P15" s="1">
        <f t="shared" si="1"/>
        <v>117675.7</v>
      </c>
    </row>
    <row r="16" spans="1:16" x14ac:dyDescent="0.25">
      <c r="A16" s="1" t="s">
        <v>5</v>
      </c>
      <c r="B16" s="1"/>
      <c r="C16" s="1">
        <v>54184.547357798678</v>
      </c>
      <c r="D16" s="1">
        <v>57749</v>
      </c>
      <c r="E16" s="1">
        <v>60919.173551991182</v>
      </c>
      <c r="F16" s="1">
        <v>63072.42929055616</v>
      </c>
      <c r="G16" s="1">
        <v>62896.298057895641</v>
      </c>
      <c r="H16" s="1">
        <v>65714.3</v>
      </c>
      <c r="I16" s="1">
        <v>63406.9</v>
      </c>
      <c r="J16" s="1">
        <v>64343.5</v>
      </c>
      <c r="K16" s="1">
        <v>67796.2</v>
      </c>
      <c r="L16" s="1">
        <v>70348.5</v>
      </c>
      <c r="M16" s="1">
        <v>72344.7</v>
      </c>
      <c r="N16" s="1">
        <v>74701.5</v>
      </c>
      <c r="O16" s="1">
        <v>77280.7</v>
      </c>
      <c r="P16" s="1">
        <v>80110.5</v>
      </c>
    </row>
    <row r="17" spans="1:16" x14ac:dyDescent="0.25">
      <c r="A17" s="1" t="s">
        <v>6</v>
      </c>
      <c r="B17" s="1"/>
      <c r="C17" s="1">
        <v>11263.642946755604</v>
      </c>
      <c r="D17" s="1">
        <v>16584.849434978794</v>
      </c>
      <c r="E17" s="1">
        <v>19123.913528249148</v>
      </c>
      <c r="F17" s="1">
        <v>20667.326664983084</v>
      </c>
      <c r="G17" s="1">
        <v>18775.273957472171</v>
      </c>
      <c r="H17" s="1">
        <v>20889</v>
      </c>
      <c r="I17" s="1">
        <v>19138.400000000001</v>
      </c>
      <c r="J17" s="1">
        <v>18356.900000000001</v>
      </c>
      <c r="K17" s="1">
        <v>20177.599999999999</v>
      </c>
      <c r="L17" s="1">
        <v>20391.800000000003</v>
      </c>
      <c r="M17" s="1">
        <v>20504.599999999999</v>
      </c>
      <c r="N17" s="1">
        <v>20531.099999999999</v>
      </c>
      <c r="O17" s="1">
        <v>20534.899999999994</v>
      </c>
      <c r="P17" s="1">
        <v>20538.900000000001</v>
      </c>
    </row>
    <row r="18" spans="1:16" x14ac:dyDescent="0.25">
      <c r="A18" s="1" t="s">
        <v>36</v>
      </c>
      <c r="B18" s="1"/>
      <c r="C18" s="1">
        <f>(C16-C17)</f>
        <v>42920.90441104307</v>
      </c>
      <c r="D18" s="1">
        <f t="shared" ref="D18:P18" si="2">(D16-D17)</f>
        <v>41164.150565021206</v>
      </c>
      <c r="E18" s="1">
        <f t="shared" si="2"/>
        <v>41795.260023742034</v>
      </c>
      <c r="F18" s="1">
        <f t="shared" si="2"/>
        <v>42405.102625573076</v>
      </c>
      <c r="G18" s="1">
        <f t="shared" si="2"/>
        <v>44121.02410042347</v>
      </c>
      <c r="H18" s="1">
        <f t="shared" si="2"/>
        <v>44825.3</v>
      </c>
      <c r="I18" s="1">
        <f t="shared" si="2"/>
        <v>44268.5</v>
      </c>
      <c r="J18" s="1">
        <f t="shared" si="2"/>
        <v>45986.6</v>
      </c>
      <c r="K18" s="1">
        <f t="shared" si="2"/>
        <v>47618.6</v>
      </c>
      <c r="L18" s="1">
        <f t="shared" si="2"/>
        <v>49956.7</v>
      </c>
      <c r="M18" s="1">
        <f t="shared" si="2"/>
        <v>51840.1</v>
      </c>
      <c r="N18" s="1">
        <f t="shared" si="2"/>
        <v>54170.400000000001</v>
      </c>
      <c r="O18" s="1">
        <f t="shared" si="2"/>
        <v>56745.8</v>
      </c>
      <c r="P18" s="1">
        <f t="shared" si="2"/>
        <v>59571.6</v>
      </c>
    </row>
    <row r="19" spans="1:16" x14ac:dyDescent="0.25">
      <c r="A19" s="1" t="s">
        <v>40</v>
      </c>
      <c r="B19" s="1"/>
      <c r="C19" s="1"/>
      <c r="D19" s="2">
        <f>D18/C18-1</f>
        <v>-4.0930028621900871E-2</v>
      </c>
      <c r="E19" s="2">
        <f t="shared" ref="E19:P19" si="3">E18/D18-1</f>
        <v>1.533153120028441E-2</v>
      </c>
      <c r="F19" s="2">
        <f t="shared" si="3"/>
        <v>1.4591190519801067E-2</v>
      </c>
      <c r="G19" s="2">
        <f t="shared" si="3"/>
        <v>4.0464976349699588E-2</v>
      </c>
      <c r="H19" s="2">
        <f t="shared" si="3"/>
        <v>1.5962365197451867E-2</v>
      </c>
      <c r="I19" s="2">
        <f t="shared" si="3"/>
        <v>-1.2421556576308501E-2</v>
      </c>
      <c r="J19" s="2">
        <f t="shared" si="3"/>
        <v>3.8810892621164106E-2</v>
      </c>
      <c r="K19" s="2">
        <f t="shared" si="3"/>
        <v>3.5488598852709163E-2</v>
      </c>
      <c r="L19" s="2">
        <f t="shared" si="3"/>
        <v>4.9100561545278421E-2</v>
      </c>
      <c r="M19" s="2">
        <f t="shared" si="3"/>
        <v>3.7700648761827882E-2</v>
      </c>
      <c r="N19" s="2">
        <f t="shared" si="3"/>
        <v>4.4951687978997068E-2</v>
      </c>
      <c r="O19" s="2">
        <f t="shared" si="3"/>
        <v>4.7542569373680177E-2</v>
      </c>
      <c r="P19" s="2">
        <f t="shared" si="3"/>
        <v>4.979751805419963E-2</v>
      </c>
    </row>
    <row r="20" spans="1:16" x14ac:dyDescent="0.25">
      <c r="A20" s="1" t="s">
        <v>51</v>
      </c>
      <c r="B20" s="1"/>
      <c r="C20" s="1"/>
      <c r="D20" s="2">
        <f>D16/C16-1</f>
        <v>6.5783564060506894E-2</v>
      </c>
      <c r="E20" s="2">
        <f t="shared" ref="E20:P20" si="4">E16/D16-1</f>
        <v>5.4895730696482792E-2</v>
      </c>
      <c r="F20" s="2">
        <f t="shared" si="4"/>
        <v>3.5346108835952794E-2</v>
      </c>
      <c r="G20" s="2">
        <f t="shared" si="4"/>
        <v>-2.7925233678431916E-3</v>
      </c>
      <c r="H20" s="2">
        <f t="shared" si="4"/>
        <v>4.4803939645389201E-2</v>
      </c>
      <c r="I20" s="2">
        <f t="shared" si="4"/>
        <v>-3.5112601062478044E-2</v>
      </c>
      <c r="J20" s="2">
        <f t="shared" si="4"/>
        <v>1.4771263064429885E-2</v>
      </c>
      <c r="K20" s="2">
        <f t="shared" si="4"/>
        <v>5.3660431900658168E-2</v>
      </c>
      <c r="L20" s="2">
        <f t="shared" si="4"/>
        <v>3.7646652762249211E-2</v>
      </c>
      <c r="M20" s="2">
        <f t="shared" si="4"/>
        <v>2.8375871553764531E-2</v>
      </c>
      <c r="N20" s="2">
        <f t="shared" si="4"/>
        <v>3.2577369178391935E-2</v>
      </c>
      <c r="O20" s="2">
        <f t="shared" si="4"/>
        <v>3.4526749797527456E-2</v>
      </c>
      <c r="P20" s="2">
        <f t="shared" si="4"/>
        <v>3.661716314681418E-2</v>
      </c>
    </row>
    <row r="21" spans="1:16" x14ac:dyDescent="0.25">
      <c r="A21" s="1"/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5">
      <c r="A22" s="1" t="s">
        <v>7</v>
      </c>
      <c r="B22" s="1"/>
      <c r="C22" s="2">
        <f>(C5-C8)/C13</f>
        <v>-6.2649247500831659E-2</v>
      </c>
      <c r="D22" s="2">
        <f t="shared" ref="D22:P22" si="5">(D5-D8)/D13</f>
        <v>-4.6322359401977244E-2</v>
      </c>
      <c r="E22" s="2">
        <f t="shared" si="5"/>
        <v>-4.7464439855897676E-2</v>
      </c>
      <c r="F22" s="2">
        <f t="shared" si="5"/>
        <v>-2.4747094100208498E-2</v>
      </c>
      <c r="G22" s="2">
        <f t="shared" si="5"/>
        <v>-2.5805786758424185E-2</v>
      </c>
      <c r="H22" s="2">
        <f t="shared" si="5"/>
        <v>-4.9757889464017366E-2</v>
      </c>
      <c r="I22" s="2">
        <f t="shared" si="5"/>
        <v>-8.558449836200796E-2</v>
      </c>
      <c r="J22" s="2">
        <f t="shared" si="5"/>
        <v>-7.0865804205996072E-2</v>
      </c>
      <c r="K22" s="2">
        <f t="shared" si="5"/>
        <v>-5.8848054688590862E-2</v>
      </c>
      <c r="L22" s="2">
        <f t="shared" si="5"/>
        <v>-4.3677485251740429E-2</v>
      </c>
      <c r="M22" s="2">
        <f t="shared" si="5"/>
        <v>-3.2538772936978246E-2</v>
      </c>
      <c r="N22" s="2">
        <f t="shared" si="5"/>
        <v>-2.1584419808117226E-2</v>
      </c>
      <c r="O22" s="2">
        <f t="shared" si="5"/>
        <v>-1.0758494362698118E-2</v>
      </c>
      <c r="P22" s="2">
        <f t="shared" si="5"/>
        <v>3.3148130191001127E-4</v>
      </c>
    </row>
    <row r="23" spans="1:16" x14ac:dyDescent="0.25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5">
      <c r="A24" s="1" t="s">
        <v>16</v>
      </c>
      <c r="B24" s="1"/>
      <c r="C24" s="1">
        <f>C5-C6-C7</f>
        <v>9706</v>
      </c>
      <c r="D24" s="1">
        <f t="shared" ref="D24:P24" si="6">D5-D6-D7</f>
        <v>9531.8000000000011</v>
      </c>
      <c r="E24" s="1">
        <f t="shared" si="6"/>
        <v>8662.9</v>
      </c>
      <c r="F24" s="1">
        <f t="shared" si="6"/>
        <v>9409.3000000000011</v>
      </c>
      <c r="G24" s="1">
        <f t="shared" si="6"/>
        <v>10820.9</v>
      </c>
      <c r="H24" s="1">
        <f t="shared" si="6"/>
        <v>10763</v>
      </c>
      <c r="I24" s="1">
        <f t="shared" si="6"/>
        <v>9916.4</v>
      </c>
      <c r="J24" s="1">
        <f t="shared" si="6"/>
        <v>10910.9</v>
      </c>
      <c r="K24" s="1">
        <f t="shared" si="6"/>
        <v>12776.900000000001</v>
      </c>
      <c r="L24" s="1">
        <f t="shared" si="6"/>
        <v>14599.800000000001</v>
      </c>
      <c r="M24" s="1">
        <f t="shared" si="6"/>
        <v>16349.4</v>
      </c>
      <c r="N24" s="1">
        <f t="shared" si="6"/>
        <v>18555.399999999998</v>
      </c>
      <c r="O24" s="1">
        <f t="shared" si="6"/>
        <v>20757.7</v>
      </c>
      <c r="P24" s="1">
        <f t="shared" si="6"/>
        <v>22788</v>
      </c>
    </row>
    <row r="25" spans="1:16" x14ac:dyDescent="0.25">
      <c r="A25" s="1" t="s">
        <v>17</v>
      </c>
      <c r="B25" s="1"/>
      <c r="C25" s="2">
        <f>C24/(C13-C14)</f>
        <v>0.21486706802356548</v>
      </c>
      <c r="D25" s="2">
        <f t="shared" ref="D25:P25" si="7">D24/(D13-D14)</f>
        <v>0.20892716523568911</v>
      </c>
      <c r="E25" s="2">
        <f t="shared" si="7"/>
        <v>0.17494424713531784</v>
      </c>
      <c r="F25" s="2">
        <f t="shared" si="7"/>
        <v>0.17706857939472609</v>
      </c>
      <c r="G25" s="2">
        <f t="shared" si="7"/>
        <v>0.18891393901888492</v>
      </c>
      <c r="H25" s="2">
        <f t="shared" si="7"/>
        <v>0.17912181548272854</v>
      </c>
      <c r="I25" s="2">
        <f t="shared" si="7"/>
        <v>0.15766244172957433</v>
      </c>
      <c r="J25" s="2">
        <f t="shared" si="7"/>
        <v>0.15733682877800756</v>
      </c>
      <c r="K25" s="2">
        <f t="shared" si="7"/>
        <v>0.17138675870320766</v>
      </c>
      <c r="L25" s="2">
        <f t="shared" si="7"/>
        <v>0.17826525989843625</v>
      </c>
      <c r="M25" s="2">
        <f t="shared" si="7"/>
        <v>0.18368502535732822</v>
      </c>
      <c r="N25" s="2">
        <f t="shared" si="7"/>
        <v>0.19055140104377399</v>
      </c>
      <c r="O25" s="2">
        <f t="shared" si="7"/>
        <v>0.19414598103219291</v>
      </c>
      <c r="P25" s="2">
        <f t="shared" si="7"/>
        <v>0.19365085569918003</v>
      </c>
    </row>
    <row r="26" spans="1:16" x14ac:dyDescent="0.25">
      <c r="A26" s="1" t="s">
        <v>18</v>
      </c>
      <c r="B26" s="1"/>
      <c r="C26" s="2">
        <f>C6/C14</f>
        <v>0.10882491488268055</v>
      </c>
      <c r="D26" s="2">
        <f t="shared" ref="D26:P26" si="8">D6/D14</f>
        <v>4.4899621800447417E-2</v>
      </c>
      <c r="E26" s="2">
        <f t="shared" si="8"/>
        <v>2.5289782342650492E-2</v>
      </c>
      <c r="F26" s="2">
        <f t="shared" si="8"/>
        <v>3.4871935827000759E-2</v>
      </c>
      <c r="G26" s="2">
        <f t="shared" si="8"/>
        <v>6.4564535837766682E-2</v>
      </c>
      <c r="H26" s="2">
        <f t="shared" si="8"/>
        <v>4.8063000875479829E-2</v>
      </c>
      <c r="I26" s="2">
        <f t="shared" si="8"/>
        <v>3.3489221450204894E-2</v>
      </c>
      <c r="J26" s="2">
        <f t="shared" si="8"/>
        <v>4.6755956106312842E-2</v>
      </c>
      <c r="K26" s="2">
        <f t="shared" si="8"/>
        <v>5.8513871441885836E-2</v>
      </c>
      <c r="L26" s="2">
        <f t="shared" si="8"/>
        <v>4.9211744286954004E-2</v>
      </c>
      <c r="M26" s="2">
        <f t="shared" si="8"/>
        <v>5.1600807614652439E-2</v>
      </c>
      <c r="N26" s="2">
        <f t="shared" si="8"/>
        <v>5.2250821038533582E-2</v>
      </c>
      <c r="O26" s="2">
        <f t="shared" si="8"/>
        <v>6.8967421517482058E-2</v>
      </c>
      <c r="P26" s="2">
        <f t="shared" si="8"/>
        <v>0.10114596029164655</v>
      </c>
    </row>
    <row r="27" spans="1:16" x14ac:dyDescent="0.25">
      <c r="A27" s="1" t="s">
        <v>19</v>
      </c>
      <c r="B27" s="1"/>
      <c r="C27" s="2">
        <f>C6/C13</f>
        <v>2.2779316801961977E-2</v>
      </c>
      <c r="D27" s="2">
        <f t="shared" ref="D27:P27" si="9">D6/D13</f>
        <v>1.0838148416328793E-2</v>
      </c>
      <c r="E27" s="2">
        <f t="shared" si="9"/>
        <v>6.0349182518431611E-3</v>
      </c>
      <c r="F27" s="2">
        <f t="shared" si="9"/>
        <v>9.3199759861430521E-3</v>
      </c>
      <c r="G27" s="2">
        <f t="shared" si="9"/>
        <v>1.7990125608515418E-2</v>
      </c>
      <c r="H27" s="2">
        <f t="shared" si="9"/>
        <v>1.3619015814707917E-2</v>
      </c>
      <c r="I27" s="2">
        <f t="shared" si="9"/>
        <v>8.8097726495165694E-3</v>
      </c>
      <c r="J27" s="2">
        <f t="shared" si="9"/>
        <v>1.2008864655401524E-2</v>
      </c>
      <c r="K27" s="2">
        <f t="shared" si="9"/>
        <v>1.561913078022888E-2</v>
      </c>
      <c r="L27" s="2">
        <f t="shared" si="9"/>
        <v>1.2422949870978401E-2</v>
      </c>
      <c r="M27" s="2">
        <f t="shared" si="9"/>
        <v>1.2259323407324415E-2</v>
      </c>
      <c r="N27" s="2">
        <f t="shared" si="9"/>
        <v>1.1692955689684309E-2</v>
      </c>
      <c r="O27" s="2">
        <f t="shared" si="9"/>
        <v>1.3971499126268551E-2</v>
      </c>
      <c r="P27" s="2">
        <f t="shared" si="9"/>
        <v>1.929056124185825E-2</v>
      </c>
    </row>
    <row r="28" spans="1:16" x14ac:dyDescent="0.25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E29" t="s">
        <v>37</v>
      </c>
      <c r="F29" t="s">
        <v>38</v>
      </c>
      <c r="G29" s="10"/>
      <c r="H29" s="10">
        <f>H4</f>
        <v>2019</v>
      </c>
      <c r="I29" s="10">
        <f t="shared" ref="I29:P29" si="10">I4</f>
        <v>2020</v>
      </c>
      <c r="J29" s="10">
        <f t="shared" si="10"/>
        <v>2021</v>
      </c>
      <c r="K29" s="10">
        <f t="shared" si="10"/>
        <v>2022</v>
      </c>
      <c r="L29" s="10">
        <f t="shared" si="10"/>
        <v>2023</v>
      </c>
      <c r="M29" s="10">
        <f t="shared" si="10"/>
        <v>2024</v>
      </c>
      <c r="N29" s="10">
        <f t="shared" si="10"/>
        <v>2025</v>
      </c>
      <c r="O29" s="10">
        <f t="shared" si="10"/>
        <v>2026</v>
      </c>
      <c r="P29" s="10">
        <f t="shared" si="10"/>
        <v>2027</v>
      </c>
    </row>
    <row r="30" spans="1:16" x14ac:dyDescent="0.25">
      <c r="A30" t="s">
        <v>8</v>
      </c>
      <c r="B30" s="4">
        <f>(P30/J30)^(1/6)-1</f>
        <v>6.9858481055502297E-2</v>
      </c>
      <c r="D30" t="s">
        <v>34</v>
      </c>
      <c r="E30" s="4">
        <f>(H16/C16)^0.2-1</f>
        <v>3.9338194158218265E-2</v>
      </c>
      <c r="F30" s="4">
        <f>(P16/K16)^0.2-1</f>
        <v>3.3943525499696703E-2</v>
      </c>
      <c r="G30" s="10" t="s">
        <v>0</v>
      </c>
      <c r="H30" s="11">
        <f>H5/H$10*$J$10</f>
        <v>15068.263115974412</v>
      </c>
      <c r="I30" s="11">
        <f t="shared" ref="I30:P30" si="11">I5/I$10*$J$10</f>
        <v>12697.964999999998</v>
      </c>
      <c r="J30" s="11">
        <f t="shared" si="11"/>
        <v>13674.5</v>
      </c>
      <c r="K30" s="11">
        <f t="shared" si="11"/>
        <v>15331.628787878788</v>
      </c>
      <c r="L30" s="11">
        <f t="shared" si="11"/>
        <v>15889.774164797882</v>
      </c>
      <c r="M30" s="11">
        <f t="shared" si="11"/>
        <v>16717.128450080891</v>
      </c>
      <c r="N30" s="11">
        <f t="shared" si="11"/>
        <v>17786.858096168642</v>
      </c>
      <c r="O30" s="11">
        <f t="shared" si="11"/>
        <v>19078.981040365448</v>
      </c>
      <c r="P30" s="11">
        <f t="shared" si="11"/>
        <v>20505.4572647348</v>
      </c>
    </row>
    <row r="31" spans="1:16" x14ac:dyDescent="0.25">
      <c r="A31" t="s">
        <v>9</v>
      </c>
      <c r="B31" s="4">
        <f>(P31/J31)^(1/6)-1</f>
        <v>1.4942260744861269E-3</v>
      </c>
      <c r="D31" t="s">
        <v>39</v>
      </c>
      <c r="E31" s="4">
        <f>(H17/C17)^0.2-1</f>
        <v>0.13148227493719178</v>
      </c>
      <c r="F31" s="4">
        <f>(P17/K17)^0.2-1</f>
        <v>3.5558211466220069E-3</v>
      </c>
      <c r="G31" s="10" t="s">
        <v>1</v>
      </c>
      <c r="H31" s="11">
        <f t="shared" ref="H31:P31" si="12">H8/H$10*$J$10</f>
        <v>19663.474820213676</v>
      </c>
      <c r="I31" s="11">
        <f t="shared" si="12"/>
        <v>20367.689999999999</v>
      </c>
      <c r="J31" s="11">
        <f t="shared" si="12"/>
        <v>20287.3</v>
      </c>
      <c r="K31" s="11">
        <f t="shared" si="12"/>
        <v>20998.863636363636</v>
      </c>
      <c r="L31" s="11">
        <f t="shared" si="12"/>
        <v>20188.962681846926</v>
      </c>
      <c r="M31" s="11">
        <f t="shared" si="12"/>
        <v>19964.468372011921</v>
      </c>
      <c r="N31" s="11">
        <f t="shared" si="12"/>
        <v>19991.408535254908</v>
      </c>
      <c r="O31" s="11">
        <f t="shared" si="12"/>
        <v>20197.465562462789</v>
      </c>
      <c r="P31" s="11">
        <f t="shared" si="12"/>
        <v>20469.863666342397</v>
      </c>
    </row>
    <row r="32" spans="1:16" x14ac:dyDescent="0.25">
      <c r="D32" t="s">
        <v>35</v>
      </c>
      <c r="E32" s="4">
        <f>(H18/C18)^0.2-1</f>
        <v>8.720548882880097E-3</v>
      </c>
      <c r="F32" s="4">
        <f>(P18/K18)^0.2-1</f>
        <v>4.5809369440135361E-2</v>
      </c>
      <c r="G32" s="10"/>
      <c r="H32" s="11"/>
      <c r="I32" s="11"/>
      <c r="J32" s="11"/>
      <c r="K32" s="11"/>
      <c r="L32" s="11"/>
      <c r="M32" s="11"/>
      <c r="N32" s="11"/>
      <c r="O32" s="11"/>
      <c r="P32" s="11"/>
    </row>
    <row r="33" spans="1:16" x14ac:dyDescent="0.25">
      <c r="G33" t="s">
        <v>28</v>
      </c>
      <c r="H33" s="1"/>
      <c r="I33" s="2">
        <f>I30/H30-1</f>
        <v>-0.15730400363540076</v>
      </c>
      <c r="J33" s="2">
        <f t="shared" ref="J33:P33" si="13">J30/I30-1</f>
        <v>7.6904842626357883E-2</v>
      </c>
      <c r="K33" s="2">
        <f t="shared" si="13"/>
        <v>0.12118386689669003</v>
      </c>
      <c r="L33" s="2">
        <f t="shared" si="13"/>
        <v>3.6404832431135015E-2</v>
      </c>
      <c r="M33" s="2">
        <f t="shared" si="13"/>
        <v>5.2068347649391056E-2</v>
      </c>
      <c r="N33" s="2">
        <f t="shared" si="13"/>
        <v>6.3990035685977942E-2</v>
      </c>
      <c r="O33" s="2">
        <f t="shared" si="13"/>
        <v>7.2644810972834817E-2</v>
      </c>
      <c r="P33" s="2">
        <f t="shared" si="13"/>
        <v>7.4766897736904925E-2</v>
      </c>
    </row>
    <row r="34" spans="1:16" x14ac:dyDescent="0.25">
      <c r="A34" t="s">
        <v>10</v>
      </c>
      <c r="B34">
        <v>190</v>
      </c>
      <c r="G34" t="s">
        <v>29</v>
      </c>
      <c r="H34" s="1"/>
      <c r="I34" s="2">
        <f>I31/H31-1</f>
        <v>3.5813363926013864E-2</v>
      </c>
      <c r="J34" s="2">
        <f>J31/I31-1</f>
        <v>-3.9469375270342333E-3</v>
      </c>
      <c r="K34" s="2">
        <f>K31/J31-1</f>
        <v>3.5074338939318439E-2</v>
      </c>
      <c r="L34" s="2">
        <f>L31/K31-1</f>
        <v>-3.8568799176075808E-2</v>
      </c>
      <c r="M34" s="2">
        <f>M31/L31-1</f>
        <v>-1.1119655495567482E-2</v>
      </c>
      <c r="N34" s="2">
        <f>N31/M31-1</f>
        <v>1.3494054908447239E-3</v>
      </c>
      <c r="O34" s="2">
        <f>O31/N31-1</f>
        <v>1.0307279091640753E-2</v>
      </c>
      <c r="P34" s="2">
        <f>P31/O31-1</f>
        <v>1.3486746791927295E-2</v>
      </c>
    </row>
    <row r="35" spans="1:16" x14ac:dyDescent="0.25">
      <c r="A35" t="s">
        <v>11</v>
      </c>
      <c r="B35">
        <v>95</v>
      </c>
      <c r="H35" s="1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t="s">
        <v>12</v>
      </c>
      <c r="B36">
        <f>SUM(B34:B35)</f>
        <v>285</v>
      </c>
      <c r="G36" t="s">
        <v>45</v>
      </c>
      <c r="I36">
        <f>I30-H30</f>
        <v>-2370.298115974414</v>
      </c>
      <c r="J36">
        <f>J30-I30</f>
        <v>976.53500000000167</v>
      </c>
      <c r="K36">
        <f>K30-J30</f>
        <v>1657.128787878788</v>
      </c>
      <c r="L36">
        <f>L30-K30</f>
        <v>558.14537691909391</v>
      </c>
      <c r="M36">
        <f>M30-L30</f>
        <v>827.35428528300872</v>
      </c>
      <c r="N36">
        <f>N30-M30</f>
        <v>1069.7296460877515</v>
      </c>
      <c r="O36">
        <f>O30-N30</f>
        <v>1292.1229441968062</v>
      </c>
      <c r="P36">
        <f>P30-O30</f>
        <v>1426.4762243693513</v>
      </c>
    </row>
    <row r="37" spans="1:16" x14ac:dyDescent="0.25">
      <c r="A37" t="s">
        <v>13</v>
      </c>
      <c r="B37" s="5">
        <f>B36/K13</f>
        <v>2.8024756184621192E-3</v>
      </c>
      <c r="G37" t="s">
        <v>46</v>
      </c>
      <c r="I37">
        <f>I31-H31</f>
        <v>704.21517978632255</v>
      </c>
      <c r="J37">
        <f>J31-I31</f>
        <v>-80.389999999999418</v>
      </c>
      <c r="K37">
        <f>K31-J31</f>
        <v>711.56363636363676</v>
      </c>
      <c r="L37">
        <f>L31-K31</f>
        <v>-809.90095451671004</v>
      </c>
      <c r="M37">
        <f>M31-L31</f>
        <v>-224.49430983500497</v>
      </c>
      <c r="N37">
        <f>N31-M31</f>
        <v>26.940163242987182</v>
      </c>
      <c r="O37">
        <f>O31-N31</f>
        <v>206.05702720788031</v>
      </c>
      <c r="P37">
        <f>P31-O31</f>
        <v>272.39810387960824</v>
      </c>
    </row>
    <row r="39" spans="1:16" x14ac:dyDescent="0.25">
      <c r="A39" t="s">
        <v>20</v>
      </c>
      <c r="G39" t="s">
        <v>48</v>
      </c>
      <c r="I39" s="3">
        <f>I5/H5-1</f>
        <v>-0.11601915134680751</v>
      </c>
      <c r="J39" s="3">
        <f>J5/I5-1</f>
        <v>0.13075008475767591</v>
      </c>
      <c r="K39" s="3">
        <f>K5/J5-1</f>
        <v>0.18397016344290473</v>
      </c>
      <c r="L39" s="3">
        <f>L5/K5-1</f>
        <v>9.2370693382416436E-2</v>
      </c>
      <c r="M39" s="3">
        <f>M5/L5-1</f>
        <v>0.10572383337950986</v>
      </c>
      <c r="N39" s="3">
        <f>N5/M5-1</f>
        <v>0.11718953747027694</v>
      </c>
      <c r="O39" s="3">
        <f>O5/N5-1</f>
        <v>0.12627705152147639</v>
      </c>
      <c r="P39" s="3">
        <f>P5/O5-1</f>
        <v>0.12850524262375029</v>
      </c>
    </row>
    <row r="40" spans="1:16" x14ac:dyDescent="0.25">
      <c r="A40" t="s">
        <v>21</v>
      </c>
      <c r="B40" s="6">
        <f>AVERAGE(C25:H25)</f>
        <v>0.19064046904848533</v>
      </c>
      <c r="G40" t="s">
        <v>49</v>
      </c>
      <c r="I40" s="3">
        <f>I8/H8-1</f>
        <v>8.6559305419408927E-2</v>
      </c>
      <c r="J40" s="3">
        <f>J8/I8-1</f>
        <v>4.5855715596613944E-2</v>
      </c>
      <c r="K40" s="3">
        <f>K8/J8-1</f>
        <v>9.3038501919920247E-2</v>
      </c>
      <c r="L40" s="3">
        <f>L8/K8-1</f>
        <v>1.334848566841651E-2</v>
      </c>
      <c r="M40" s="3">
        <f>M8/L8-1</f>
        <v>3.9313242074158428E-2</v>
      </c>
      <c r="N40" s="3">
        <f>N8/M8-1</f>
        <v>5.1416875765387005E-2</v>
      </c>
      <c r="O40" s="3">
        <f>O8/N8-1</f>
        <v>6.0822643046222868E-2</v>
      </c>
      <c r="P40" s="3">
        <f>P8/O8-1</f>
        <v>6.4161084131523882E-2</v>
      </c>
    </row>
    <row r="42" spans="1:16" x14ac:dyDescent="0.25">
      <c r="B42" s="12" t="s">
        <v>26</v>
      </c>
      <c r="C42" s="12"/>
      <c r="D42" s="12"/>
      <c r="E42" s="12"/>
      <c r="F42" s="12"/>
    </row>
    <row r="43" spans="1:16" x14ac:dyDescent="0.25">
      <c r="B43" s="7">
        <v>2021</v>
      </c>
      <c r="C43" s="7">
        <v>2022</v>
      </c>
      <c r="D43" s="7">
        <v>2027</v>
      </c>
    </row>
    <row r="44" spans="1:16" x14ac:dyDescent="0.25">
      <c r="A44" t="s">
        <v>22</v>
      </c>
      <c r="B44" s="8">
        <v>6030.4</v>
      </c>
      <c r="C44">
        <v>6050</v>
      </c>
      <c r="D44" s="8">
        <v>7953.7</v>
      </c>
      <c r="E44" t="s">
        <v>50</v>
      </c>
    </row>
    <row r="45" spans="1:16" x14ac:dyDescent="0.25">
      <c r="A45" t="s">
        <v>23</v>
      </c>
      <c r="B45" s="8">
        <v>3058.4</v>
      </c>
      <c r="C45">
        <v>3732.8</v>
      </c>
      <c r="D45" s="8">
        <v>4602.3</v>
      </c>
    </row>
    <row r="46" spans="1:16" x14ac:dyDescent="0.25">
      <c r="A46" t="s">
        <v>24</v>
      </c>
      <c r="B46" s="8">
        <v>7887.7</v>
      </c>
      <c r="C46">
        <v>8751.6</v>
      </c>
      <c r="D46" s="8">
        <v>10433</v>
      </c>
    </row>
    <row r="47" spans="1:16" x14ac:dyDescent="0.25">
      <c r="A47" t="s">
        <v>25</v>
      </c>
      <c r="B47" s="8">
        <v>2100.1</v>
      </c>
      <c r="C47">
        <v>2324.4</v>
      </c>
      <c r="D47" s="8">
        <v>2491</v>
      </c>
    </row>
    <row r="48" spans="1:16" x14ac:dyDescent="0.25">
      <c r="A48" t="s">
        <v>12</v>
      </c>
      <c r="B48" s="8">
        <v>20287.3</v>
      </c>
      <c r="C48">
        <f>K8</f>
        <v>22174.799999999999</v>
      </c>
      <c r="D48" s="8">
        <v>27719.8</v>
      </c>
    </row>
    <row r="49" spans="1:6" x14ac:dyDescent="0.25">
      <c r="B49" s="8"/>
      <c r="C49" s="8"/>
    </row>
    <row r="50" spans="1:6" x14ac:dyDescent="0.25">
      <c r="B50" s="13" t="s">
        <v>27</v>
      </c>
      <c r="C50" s="13"/>
      <c r="D50" s="13"/>
      <c r="E50" t="s">
        <v>53</v>
      </c>
      <c r="F50" t="s">
        <v>52</v>
      </c>
    </row>
    <row r="51" spans="1:6" x14ac:dyDescent="0.25">
      <c r="A51" t="str">
        <f>A44</f>
        <v>Salaries</v>
      </c>
      <c r="B51" s="8">
        <f>B44</f>
        <v>6030.4</v>
      </c>
      <c r="C51" s="8">
        <f>C44/$K$10*$J$10</f>
        <v>5729.1666666666661</v>
      </c>
      <c r="D51" s="8">
        <f>D44/$P$10*$J$10</f>
        <v>5873.4606542250485</v>
      </c>
      <c r="E51" s="3">
        <f>C51/B51-1</f>
        <v>-4.9952463075970677E-2</v>
      </c>
      <c r="F51" s="4">
        <f>D51/B51-1</f>
        <v>-2.6024699153447739E-2</v>
      </c>
    </row>
    <row r="52" spans="1:6" x14ac:dyDescent="0.25">
      <c r="A52" t="str">
        <f t="shared" ref="A52:B52" si="14">A45</f>
        <v>G&amp;S</v>
      </c>
      <c r="B52" s="8">
        <f t="shared" si="14"/>
        <v>3058.4</v>
      </c>
      <c r="C52" s="8">
        <f t="shared" ref="C52:C55" si="15">C45/$K$10*$J$10</f>
        <v>3534.848484848485</v>
      </c>
      <c r="D52" s="8">
        <f>D45/$P$10*$J$10</f>
        <v>3398.5978813558399</v>
      </c>
      <c r="E52" s="3">
        <f t="shared" ref="E52:E55" si="16">C52/B52-1</f>
        <v>0.15578357469542414</v>
      </c>
      <c r="F52" s="4">
        <f>D52/B52-1</f>
        <v>0.11123393975799112</v>
      </c>
    </row>
    <row r="53" spans="1:6" x14ac:dyDescent="0.25">
      <c r="A53" t="str">
        <f t="shared" ref="A53:B53" si="17">A46</f>
        <v>Capital investment</v>
      </c>
      <c r="B53" s="8">
        <f t="shared" si="17"/>
        <v>7887.7</v>
      </c>
      <c r="C53" s="8">
        <f t="shared" si="15"/>
        <v>8287.5</v>
      </c>
      <c r="D53" s="8">
        <f>D46/$P$10*$J$10</f>
        <v>7704.3156022392022</v>
      </c>
      <c r="E53" s="3">
        <f t="shared" si="16"/>
        <v>5.0686511910950083E-2</v>
      </c>
      <c r="F53" s="4">
        <f>D53/B53-1</f>
        <v>-2.3249413360142746E-2</v>
      </c>
    </row>
    <row r="54" spans="1:6" x14ac:dyDescent="0.25">
      <c r="A54" t="str">
        <f t="shared" ref="A54:B54" si="18">A47</f>
        <v>Interest</v>
      </c>
      <c r="B54" s="8">
        <f t="shared" si="18"/>
        <v>2100.1</v>
      </c>
      <c r="C54" s="8">
        <f t="shared" si="15"/>
        <v>2201.1363636363635</v>
      </c>
      <c r="D54" s="8">
        <f>D47/$P$10*$J$10</f>
        <v>1839.4948878728892</v>
      </c>
      <c r="E54" s="3">
        <f t="shared" si="16"/>
        <v>4.8110263147642218E-2</v>
      </c>
      <c r="F54" s="4">
        <f>D54/B54-1</f>
        <v>-0.12409176330989513</v>
      </c>
    </row>
    <row r="55" spans="1:6" x14ac:dyDescent="0.25">
      <c r="A55" t="str">
        <f t="shared" ref="A55:B55" si="19">A48</f>
        <v>Total</v>
      </c>
      <c r="B55" s="8">
        <f t="shared" si="19"/>
        <v>20287.3</v>
      </c>
      <c r="C55" s="8">
        <f t="shared" si="15"/>
        <v>20998.863636363636</v>
      </c>
      <c r="D55" s="8">
        <f>D48/$P$10*$J$10</f>
        <v>20469.863666342397</v>
      </c>
      <c r="E55" s="3">
        <f t="shared" si="16"/>
        <v>3.5074338939318439E-2</v>
      </c>
      <c r="F55" s="4">
        <f>D55/B55-1</f>
        <v>8.9989139186781308E-3</v>
      </c>
    </row>
    <row r="57" spans="1:6" x14ac:dyDescent="0.25">
      <c r="B57">
        <v>2013</v>
      </c>
      <c r="C57">
        <v>2018</v>
      </c>
      <c r="D57">
        <v>2020</v>
      </c>
      <c r="E57">
        <v>2021</v>
      </c>
    </row>
    <row r="58" spans="1:6" x14ac:dyDescent="0.25">
      <c r="A58" t="s">
        <v>30</v>
      </c>
      <c r="B58">
        <v>2785.7</v>
      </c>
      <c r="C58">
        <v>5198.3999999999996</v>
      </c>
      <c r="D58">
        <v>5831.4</v>
      </c>
      <c r="E58">
        <v>6030.4</v>
      </c>
    </row>
    <row r="59" spans="1:6" x14ac:dyDescent="0.25">
      <c r="A59" t="s">
        <v>31</v>
      </c>
      <c r="B59" s="9">
        <f>B58/B10*100</f>
        <v>2632.9867674858219</v>
      </c>
      <c r="C59" s="9">
        <f>C58/G10*100</f>
        <v>3753.2233364601934</v>
      </c>
      <c r="D59">
        <f>D58/I10*100</f>
        <v>3861.8543046357618</v>
      </c>
      <c r="E59" s="9">
        <f>E58/J10*100</f>
        <v>3803.4689372437711</v>
      </c>
    </row>
    <row r="61" spans="1:6" x14ac:dyDescent="0.25">
      <c r="B61" t="s">
        <v>32</v>
      </c>
      <c r="C61" s="3">
        <f>C59/B59-1</f>
        <v>0.42546228595142521</v>
      </c>
    </row>
    <row r="62" spans="1:6" x14ac:dyDescent="0.25">
      <c r="B62" t="s">
        <v>33</v>
      </c>
      <c r="C62" s="3">
        <f>D59/C59-1</f>
        <v>2.8943379713188611E-2</v>
      </c>
    </row>
    <row r="64" spans="1:6" x14ac:dyDescent="0.25">
      <c r="B64">
        <v>2021</v>
      </c>
      <c r="C64">
        <v>2027</v>
      </c>
    </row>
    <row r="65" spans="1:4" x14ac:dyDescent="0.25">
      <c r="A65" t="s">
        <v>42</v>
      </c>
      <c r="B65">
        <v>4127.1000000000004</v>
      </c>
      <c r="C65">
        <v>9835.4</v>
      </c>
    </row>
    <row r="66" spans="1:4" x14ac:dyDescent="0.25">
      <c r="A66" t="s">
        <v>43</v>
      </c>
      <c r="B66">
        <f>B65</f>
        <v>4127.1000000000004</v>
      </c>
      <c r="C66" s="8">
        <f>C65/$P$10*$J$10</f>
        <v>7263.0140586852722</v>
      </c>
      <c r="D66" s="4">
        <f>(C66/B66)^(1/6)-1</f>
        <v>9.8783127999407361E-2</v>
      </c>
    </row>
    <row r="69" spans="1:4" x14ac:dyDescent="0.25">
      <c r="B69">
        <v>2021</v>
      </c>
      <c r="C69">
        <v>2022</v>
      </c>
    </row>
    <row r="70" spans="1:4" x14ac:dyDescent="0.25">
      <c r="A70" t="s">
        <v>44</v>
      </c>
      <c r="B70">
        <v>1745</v>
      </c>
      <c r="C70">
        <v>2555</v>
      </c>
    </row>
  </sheetData>
  <mergeCells count="2">
    <mergeCell ref="B42:F42"/>
    <mergeCell ref="B50:D5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Australian National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Howes</dc:creator>
  <cp:lastModifiedBy>Stephen Howes</cp:lastModifiedBy>
  <dcterms:created xsi:type="dcterms:W3CDTF">2021-12-01T04:15:54Z</dcterms:created>
  <dcterms:modified xsi:type="dcterms:W3CDTF">2021-12-02T22:12:37Z</dcterms:modified>
</cp:coreProperties>
</file>