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7100009\Dropbox (Devpolicy)\Research\Sharon blogs\Telstra-Digicel\"/>
    </mc:Choice>
  </mc:AlternateContent>
  <bookViews>
    <workbookView xWindow="28680" yWindow="-30" windowWidth="29040" windowHeight="15720" activeTab="4"/>
  </bookViews>
  <sheets>
    <sheet name="Information given" sheetId="1" r:id="rId1"/>
    <sheet name="Digicel segment reporting" sheetId="4" r:id="rId2"/>
    <sheet name="Loan and interest" sheetId="5" r:id="rId3"/>
    <sheet name="Deal Evaluation" sheetId="2" r:id="rId4"/>
    <sheet name="Summary" sheetId="8" r:id="rId5"/>
  </sheets>
  <definedNames>
    <definedName name="solver_adj" localSheetId="3" hidden="1">'Deal Evaluation'!$G$70:$P$70</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2147483647</definedName>
    <definedName name="solver_lhs1" localSheetId="3" hidden="1">'Deal Evaluation'!$G$76:$P$76</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1</definedName>
    <definedName name="solver_nod" localSheetId="3" hidden="1">2147483647</definedName>
    <definedName name="solver_num" localSheetId="3" hidden="1">1</definedName>
    <definedName name="solver_nwt" localSheetId="3" hidden="1">1</definedName>
    <definedName name="solver_opt" localSheetId="3" hidden="1">'Deal Evaluation'!$P$69</definedName>
    <definedName name="solver_pre" localSheetId="3" hidden="1">0.000001</definedName>
    <definedName name="solver_rbv" localSheetId="3" hidden="1">1</definedName>
    <definedName name="solver_rel1" localSheetId="3" hidden="1">2</definedName>
    <definedName name="solver_rhs1" localSheetId="3" hidden="1">0</definedName>
    <definedName name="solver_rlx" localSheetId="3" hidden="1">1</definedName>
    <definedName name="solver_rsd" localSheetId="3" hidden="1">0</definedName>
    <definedName name="solver_scl" localSheetId="3" hidden="1">2</definedName>
    <definedName name="solver_sho" localSheetId="3" hidden="1">2</definedName>
    <definedName name="solver_ssz" localSheetId="3" hidden="1">100</definedName>
    <definedName name="solver_tim" localSheetId="3" hidden="1">2147483647</definedName>
    <definedName name="solver_tol" localSheetId="3" hidden="1">0.01</definedName>
    <definedName name="solver_typ" localSheetId="3" hidden="1">3</definedName>
    <definedName name="solver_val" localSheetId="3" hidden="1">0</definedName>
    <definedName name="solver_ver" localSheetId="3" hidden="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5" i="8" l="1"/>
  <c r="B44" i="8"/>
  <c r="B43" i="8"/>
  <c r="J115" i="2" l="1"/>
  <c r="J83" i="2"/>
  <c r="J97" i="2"/>
  <c r="J63" i="2"/>
  <c r="K63" i="2"/>
  <c r="L63" i="2"/>
  <c r="M63" i="2"/>
  <c r="N63" i="2"/>
  <c r="O63" i="2"/>
  <c r="P63" i="2"/>
  <c r="Q63" i="2"/>
  <c r="R63" i="2"/>
  <c r="S63" i="2"/>
  <c r="T63" i="2"/>
  <c r="H63" i="2" l="1"/>
  <c r="I63" i="2"/>
  <c r="G63" i="2"/>
  <c r="B9" i="2"/>
  <c r="B10" i="2" s="1"/>
  <c r="B14" i="8" l="1"/>
  <c r="R119" i="2" l="1"/>
  <c r="S119" i="2"/>
  <c r="T109" i="2"/>
  <c r="R110" i="2"/>
  <c r="S110" i="2"/>
  <c r="T110" i="2"/>
  <c r="R101" i="2"/>
  <c r="S101" i="2"/>
  <c r="Q101" i="2"/>
  <c r="T94" i="2"/>
  <c r="R94" i="2"/>
  <c r="S94" i="2"/>
  <c r="N27" i="5"/>
  <c r="R109" i="2" s="1"/>
  <c r="O27" i="5"/>
  <c r="S109" i="2" s="1"/>
  <c r="R87" i="2"/>
  <c r="S87" i="2"/>
  <c r="R30" i="2"/>
  <c r="S30" i="2"/>
  <c r="R34" i="2"/>
  <c r="S34" i="2"/>
  <c r="R37" i="2"/>
  <c r="S37" i="2"/>
  <c r="R38" i="2"/>
  <c r="R81" i="2" s="1"/>
  <c r="S38" i="2"/>
  <c r="S81" i="2" s="1"/>
  <c r="R39" i="2"/>
  <c r="S39" i="2"/>
  <c r="R40" i="2"/>
  <c r="S40" i="2"/>
  <c r="R44" i="2"/>
  <c r="S44" i="2"/>
  <c r="R46" i="2"/>
  <c r="S46" i="2"/>
  <c r="G39" i="2" l="1"/>
  <c r="F113" i="2"/>
  <c r="F111" i="2"/>
  <c r="F96" i="2"/>
  <c r="F98" i="2" s="1"/>
  <c r="M94" i="2"/>
  <c r="N94" i="2"/>
  <c r="O94" i="2"/>
  <c r="P94" i="2"/>
  <c r="Q94" i="2"/>
  <c r="G72" i="2"/>
  <c r="H72" i="2" s="1"/>
  <c r="I72" i="2" s="1"/>
  <c r="J72" i="2" s="1"/>
  <c r="K72" i="2" s="1"/>
  <c r="L72" i="2" s="1"/>
  <c r="M72" i="2" s="1"/>
  <c r="N72" i="2" s="1"/>
  <c r="O72" i="2" s="1"/>
  <c r="P72" i="2" s="1"/>
  <c r="Q72" i="2" s="1"/>
  <c r="R72" i="2" s="1"/>
  <c r="S72" i="2" s="1"/>
  <c r="H59" i="2"/>
  <c r="H94" i="2" s="1"/>
  <c r="I59" i="2"/>
  <c r="I94" i="2" s="1"/>
  <c r="J59" i="2"/>
  <c r="J94" i="2" s="1"/>
  <c r="K59" i="2"/>
  <c r="K94" i="2" s="1"/>
  <c r="L59" i="2"/>
  <c r="L94" i="2" s="1"/>
  <c r="G59" i="2"/>
  <c r="G94" i="2" s="1"/>
  <c r="C27" i="5"/>
  <c r="G109" i="2" s="1"/>
  <c r="D27" i="5"/>
  <c r="E27" i="5"/>
  <c r="F27" i="5"/>
  <c r="G27" i="5"/>
  <c r="H27" i="5"/>
  <c r="I27" i="5"/>
  <c r="J27" i="5"/>
  <c r="K27" i="5"/>
  <c r="L27" i="5"/>
  <c r="M27" i="5"/>
  <c r="F38" i="2"/>
  <c r="B26" i="5"/>
  <c r="G69" i="2"/>
  <c r="C26" i="5" s="1"/>
  <c r="H69" i="2" l="1"/>
  <c r="D26" i="5" s="1"/>
  <c r="Q109" i="2"/>
  <c r="B5" i="5"/>
  <c r="F34" i="4"/>
  <c r="J34" i="4"/>
  <c r="B34" i="4"/>
  <c r="B33" i="4"/>
  <c r="F33" i="4"/>
  <c r="N33" i="4" s="1"/>
  <c r="J33" i="4"/>
  <c r="I69" i="2" l="1"/>
  <c r="E26" i="5" s="1"/>
  <c r="D34" i="2"/>
  <c r="D35" i="2" s="1"/>
  <c r="J16" i="2"/>
  <c r="E26" i="8" s="1"/>
  <c r="J69" i="2" l="1"/>
  <c r="F26" i="5" s="1"/>
  <c r="B21" i="2"/>
  <c r="F54" i="2"/>
  <c r="G119" i="2"/>
  <c r="H119" i="2"/>
  <c r="I119" i="2"/>
  <c r="J119" i="2"/>
  <c r="K119" i="2"/>
  <c r="L119" i="2"/>
  <c r="M119" i="2"/>
  <c r="N119" i="2"/>
  <c r="O119" i="2"/>
  <c r="P119" i="2"/>
  <c r="Q119" i="2"/>
  <c r="F119" i="2"/>
  <c r="G101" i="2"/>
  <c r="H101" i="2"/>
  <c r="I101" i="2"/>
  <c r="J101" i="2"/>
  <c r="K101" i="2"/>
  <c r="L101" i="2"/>
  <c r="M101" i="2"/>
  <c r="N101" i="2"/>
  <c r="O101" i="2"/>
  <c r="P101" i="2"/>
  <c r="F101" i="2"/>
  <c r="H87" i="2"/>
  <c r="I87" i="2"/>
  <c r="J87" i="2"/>
  <c r="K87" i="2"/>
  <c r="L87" i="2"/>
  <c r="M87" i="2"/>
  <c r="N87" i="2"/>
  <c r="O87" i="2"/>
  <c r="P87" i="2"/>
  <c r="Q87" i="2"/>
  <c r="F87" i="2"/>
  <c r="G87" i="2"/>
  <c r="H39" i="2"/>
  <c r="I39" i="2"/>
  <c r="J39" i="2"/>
  <c r="K39" i="2"/>
  <c r="L39" i="2"/>
  <c r="M39" i="2"/>
  <c r="N39" i="2"/>
  <c r="O39" i="2"/>
  <c r="P39" i="2"/>
  <c r="Q39" i="2"/>
  <c r="F50" i="2"/>
  <c r="H46" i="2"/>
  <c r="I46" i="2"/>
  <c r="J46" i="2"/>
  <c r="K46" i="2"/>
  <c r="L46" i="2"/>
  <c r="M46" i="2"/>
  <c r="N46" i="2"/>
  <c r="O46" i="2"/>
  <c r="P46" i="2"/>
  <c r="Q46" i="2"/>
  <c r="G46" i="2"/>
  <c r="B17" i="8" s="1"/>
  <c r="H44" i="2"/>
  <c r="I44" i="2"/>
  <c r="J44" i="2"/>
  <c r="K44" i="2"/>
  <c r="L44" i="2"/>
  <c r="M44" i="2"/>
  <c r="N44" i="2"/>
  <c r="O44" i="2"/>
  <c r="P44" i="2"/>
  <c r="Q44" i="2"/>
  <c r="G44" i="2"/>
  <c r="B16" i="8" s="1"/>
  <c r="F40" i="2"/>
  <c r="G40" i="2"/>
  <c r="B15" i="8" s="1"/>
  <c r="H40" i="2"/>
  <c r="I40" i="2"/>
  <c r="J40" i="2"/>
  <c r="K40" i="2"/>
  <c r="L40" i="2"/>
  <c r="M40" i="2"/>
  <c r="N40" i="2"/>
  <c r="O40" i="2"/>
  <c r="P40" i="2"/>
  <c r="Q40" i="2"/>
  <c r="D40" i="2"/>
  <c r="D28" i="5"/>
  <c r="E28" i="5"/>
  <c r="F28" i="5"/>
  <c r="G28" i="5"/>
  <c r="H28" i="5"/>
  <c r="I28" i="5"/>
  <c r="J28" i="5"/>
  <c r="K28" i="5"/>
  <c r="L28" i="5"/>
  <c r="C28" i="5"/>
  <c r="B16" i="5"/>
  <c r="C16" i="5" s="1"/>
  <c r="G34" i="2"/>
  <c r="B13" i="8" s="1"/>
  <c r="H34" i="2"/>
  <c r="I34" i="2"/>
  <c r="J34" i="2"/>
  <c r="K34" i="2"/>
  <c r="L34" i="2"/>
  <c r="M34" i="2"/>
  <c r="N34" i="2"/>
  <c r="O34" i="2"/>
  <c r="P34" i="2"/>
  <c r="Q34" i="2"/>
  <c r="F34" i="2"/>
  <c r="D36" i="2"/>
  <c r="Q30" i="2"/>
  <c r="P30" i="2"/>
  <c r="O30" i="2"/>
  <c r="N30" i="2"/>
  <c r="M30" i="2"/>
  <c r="L30" i="2"/>
  <c r="K30" i="2"/>
  <c r="J30" i="2"/>
  <c r="I30" i="2"/>
  <c r="H30" i="2"/>
  <c r="G30" i="2"/>
  <c r="F30" i="2"/>
  <c r="F27" i="2" s="1"/>
  <c r="B32" i="2"/>
  <c r="C32" i="2"/>
  <c r="D32" i="2"/>
  <c r="B19" i="8"/>
  <c r="C17" i="5" l="1"/>
  <c r="K69" i="2"/>
  <c r="G26" i="5" s="1"/>
  <c r="G27" i="2"/>
  <c r="H27" i="2" s="1"/>
  <c r="I27" i="2" s="1"/>
  <c r="J27" i="2" s="1"/>
  <c r="K27" i="2" s="1"/>
  <c r="L27" i="2" s="1"/>
  <c r="M27" i="2" s="1"/>
  <c r="N27" i="2" s="1"/>
  <c r="O27" i="2" s="1"/>
  <c r="P27" i="2" s="1"/>
  <c r="Q27" i="2" s="1"/>
  <c r="R27" i="2" s="1"/>
  <c r="S27" i="2" s="1"/>
  <c r="D16" i="5"/>
  <c r="F31" i="2"/>
  <c r="F52" i="2" s="1"/>
  <c r="Q32" i="2" l="1"/>
  <c r="R32" i="2"/>
  <c r="S32" i="2"/>
  <c r="L69" i="2"/>
  <c r="H26" i="5" s="1"/>
  <c r="K32" i="2"/>
  <c r="H32" i="2"/>
  <c r="J32" i="2"/>
  <c r="L32" i="2"/>
  <c r="G32" i="2"/>
  <c r="B12" i="8" s="1"/>
  <c r="N32" i="2"/>
  <c r="I32" i="2"/>
  <c r="P32" i="2"/>
  <c r="M32" i="2"/>
  <c r="O32" i="2"/>
  <c r="F32" i="2"/>
  <c r="E16" i="5"/>
  <c r="Q110" i="2"/>
  <c r="F108" i="2"/>
  <c r="F116" i="2" s="1"/>
  <c r="P109" i="2"/>
  <c r="F81" i="2"/>
  <c r="F84" i="2" s="1"/>
  <c r="I53" i="2"/>
  <c r="J53" i="2" s="1"/>
  <c r="Q38" i="2"/>
  <c r="Q81" i="2" s="1"/>
  <c r="P37" i="2"/>
  <c r="Q37" i="2"/>
  <c r="K37" i="2"/>
  <c r="L37" i="2"/>
  <c r="M37" i="2"/>
  <c r="N37" i="2"/>
  <c r="O37" i="2"/>
  <c r="G51" i="2"/>
  <c r="G50" i="2"/>
  <c r="G10" i="4"/>
  <c r="H10" i="4"/>
  <c r="F10" i="4"/>
  <c r="C10" i="4"/>
  <c r="D10" i="4"/>
  <c r="B10" i="4"/>
  <c r="G8" i="4"/>
  <c r="H8" i="4"/>
  <c r="C8" i="4"/>
  <c r="D8" i="4"/>
  <c r="F8" i="4"/>
  <c r="B8" i="4"/>
  <c r="J37" i="2"/>
  <c r="C14" i="5"/>
  <c r="C30" i="2"/>
  <c r="D30" i="2"/>
  <c r="M69" i="2" l="1"/>
  <c r="I26" i="5" s="1"/>
  <c r="D14" i="5"/>
  <c r="D17" i="5"/>
  <c r="F16" i="5"/>
  <c r="H50" i="2"/>
  <c r="I50" i="2" s="1"/>
  <c r="J50" i="2" s="1"/>
  <c r="K50" i="2" s="1"/>
  <c r="L50" i="2" s="1"/>
  <c r="M50" i="2" s="1"/>
  <c r="N50" i="2" s="1"/>
  <c r="O50" i="2" s="1"/>
  <c r="P50" i="2" s="1"/>
  <c r="Q50" i="2" s="1"/>
  <c r="R50" i="2" s="1"/>
  <c r="S50" i="2" s="1"/>
  <c r="B18" i="8"/>
  <c r="G31" i="2"/>
  <c r="H31" i="2" s="1"/>
  <c r="I31" i="2" s="1"/>
  <c r="C29" i="5"/>
  <c r="K53" i="2"/>
  <c r="D51" i="2"/>
  <c r="C51" i="2"/>
  <c r="B51" i="2"/>
  <c r="G38" i="2" l="1"/>
  <c r="G81" i="2" s="1"/>
  <c r="N69" i="2"/>
  <c r="J26" i="5" s="1"/>
  <c r="E14" i="5"/>
  <c r="E17" i="5"/>
  <c r="B21" i="5" s="1"/>
  <c r="C37" i="2" s="1"/>
  <c r="G16" i="5"/>
  <c r="G110" i="2"/>
  <c r="L53" i="2"/>
  <c r="J31" i="2"/>
  <c r="K31" i="2" s="1"/>
  <c r="L31" i="2" s="1"/>
  <c r="M31" i="2" s="1"/>
  <c r="N31" i="2" s="1"/>
  <c r="O31" i="2" s="1"/>
  <c r="P31" i="2" s="1"/>
  <c r="Q31" i="2" s="1"/>
  <c r="R31" i="2" s="1"/>
  <c r="F35" i="2"/>
  <c r="S31" i="2" l="1"/>
  <c r="S33" i="2" s="1"/>
  <c r="R33" i="2"/>
  <c r="O69" i="2"/>
  <c r="K26" i="5" s="1"/>
  <c r="F14" i="5"/>
  <c r="F17" i="5"/>
  <c r="H16" i="5"/>
  <c r="F33" i="2"/>
  <c r="F36" i="2" s="1"/>
  <c r="M53" i="2"/>
  <c r="P69" i="2" l="1"/>
  <c r="G14" i="5"/>
  <c r="G17" i="5"/>
  <c r="I16" i="5"/>
  <c r="N53" i="2"/>
  <c r="H51" i="2"/>
  <c r="G52" i="2"/>
  <c r="G35" i="2" s="1"/>
  <c r="G33" i="2"/>
  <c r="L26" i="5" l="1"/>
  <c r="Q69" i="2"/>
  <c r="H14" i="5"/>
  <c r="B20" i="5"/>
  <c r="C53" i="2" s="1"/>
  <c r="H17" i="5"/>
  <c r="J16" i="5"/>
  <c r="O53" i="2"/>
  <c r="H33" i="2"/>
  <c r="I51" i="2"/>
  <c r="H52" i="2"/>
  <c r="H35" i="2" s="1"/>
  <c r="M26" i="5" l="1"/>
  <c r="Q54" i="2" s="1"/>
  <c r="R69" i="2"/>
  <c r="I14" i="5"/>
  <c r="I17" i="5"/>
  <c r="C21" i="5" s="1"/>
  <c r="D37" i="2" s="1"/>
  <c r="K16" i="5"/>
  <c r="P53" i="2"/>
  <c r="G36" i="2"/>
  <c r="J51" i="2"/>
  <c r="I52" i="2"/>
  <c r="I35" i="2" s="1"/>
  <c r="I33" i="2"/>
  <c r="S69" i="2" l="1"/>
  <c r="O26" i="5" s="1"/>
  <c r="S54" i="2" s="1"/>
  <c r="N26" i="5"/>
  <c r="R54" i="2" s="1"/>
  <c r="R80" i="2" s="1"/>
  <c r="J14" i="5"/>
  <c r="J17" i="5"/>
  <c r="L16" i="5"/>
  <c r="Q53" i="2"/>
  <c r="R53" i="2" s="1"/>
  <c r="S53" i="2" s="1"/>
  <c r="J33" i="2"/>
  <c r="D41" i="2"/>
  <c r="D42" i="2" s="1"/>
  <c r="J52" i="2"/>
  <c r="J35" i="2" s="1"/>
  <c r="K51" i="2"/>
  <c r="H36" i="2"/>
  <c r="S55" i="2" l="1"/>
  <c r="S80" i="2"/>
  <c r="R55" i="2"/>
  <c r="K14" i="5"/>
  <c r="K17" i="5"/>
  <c r="M16" i="5"/>
  <c r="D47" i="2"/>
  <c r="D48" i="2" s="1"/>
  <c r="K52" i="2"/>
  <c r="K35" i="2" s="1"/>
  <c r="L51" i="2"/>
  <c r="K33" i="2"/>
  <c r="J36" i="2"/>
  <c r="I36" i="2"/>
  <c r="L14" i="5" l="1"/>
  <c r="C20" i="5"/>
  <c r="D53" i="2" s="1"/>
  <c r="D55" i="2" s="1"/>
  <c r="D57" i="2" s="1"/>
  <c r="D60" i="2" s="1"/>
  <c r="D62" i="2" s="1"/>
  <c r="L17" i="5"/>
  <c r="N16" i="5"/>
  <c r="L33" i="2"/>
  <c r="L52" i="2"/>
  <c r="L35" i="2" s="1"/>
  <c r="M51" i="2"/>
  <c r="K36" i="2"/>
  <c r="M14" i="5" l="1"/>
  <c r="M17" i="5"/>
  <c r="O16" i="5"/>
  <c r="L36" i="2"/>
  <c r="M33" i="2"/>
  <c r="N51" i="2"/>
  <c r="M52" i="2"/>
  <c r="M35" i="2" s="1"/>
  <c r="D21" i="5"/>
  <c r="F37" i="2" s="1"/>
  <c r="N14" i="5" l="1"/>
  <c r="N17" i="5"/>
  <c r="P16" i="5"/>
  <c r="F41" i="2"/>
  <c r="F49" i="2" s="1"/>
  <c r="M36" i="2"/>
  <c r="N52" i="2"/>
  <c r="N35" i="2" s="1"/>
  <c r="O51" i="2"/>
  <c r="N33" i="2"/>
  <c r="F42" i="2" l="1"/>
  <c r="O14" i="5"/>
  <c r="D20" i="5"/>
  <c r="F53" i="2" s="1"/>
  <c r="F55" i="2" s="1"/>
  <c r="O17" i="5"/>
  <c r="Q16" i="5"/>
  <c r="F47" i="2"/>
  <c r="N36" i="2"/>
  <c r="O33" i="2"/>
  <c r="O52" i="2"/>
  <c r="O35" i="2" s="1"/>
  <c r="P51" i="2"/>
  <c r="F48" i="2" l="1"/>
  <c r="F57" i="2" s="1"/>
  <c r="F60" i="2" s="1"/>
  <c r="F62" i="2" s="1"/>
  <c r="P14" i="5"/>
  <c r="P17" i="5"/>
  <c r="R16" i="5"/>
  <c r="Q51" i="2"/>
  <c r="P52" i="2"/>
  <c r="P35" i="2" s="1"/>
  <c r="P33" i="2"/>
  <c r="Q33" i="2"/>
  <c r="O36" i="2"/>
  <c r="Q52" i="2" l="1"/>
  <c r="Q35" i="2" s="1"/>
  <c r="Q36" i="2" s="1"/>
  <c r="Q41" i="2" s="1"/>
  <c r="R51" i="2"/>
  <c r="Q14" i="5"/>
  <c r="Q17" i="5"/>
  <c r="E21" i="5" s="1"/>
  <c r="G37" i="2" s="1"/>
  <c r="S16" i="5"/>
  <c r="P36" i="2"/>
  <c r="S51" i="2" l="1"/>
  <c r="S52" i="2" s="1"/>
  <c r="R52" i="2"/>
  <c r="R35" i="2" s="1"/>
  <c r="R36" i="2" s="1"/>
  <c r="R41" i="2" s="1"/>
  <c r="R42" i="2" s="1"/>
  <c r="R45" i="2" s="1"/>
  <c r="R47" i="2" s="1"/>
  <c r="R49" i="2" s="1"/>
  <c r="R14" i="5"/>
  <c r="E20" i="5"/>
  <c r="G53" i="2" s="1"/>
  <c r="R17" i="5"/>
  <c r="T16" i="5"/>
  <c r="G41" i="2"/>
  <c r="G42" i="2" s="1"/>
  <c r="R48" i="2" l="1"/>
  <c r="R57" i="2" s="1"/>
  <c r="R79" i="2" s="1"/>
  <c r="R84" i="2" s="1"/>
  <c r="S35" i="2"/>
  <c r="S36" i="2" s="1"/>
  <c r="S14" i="5"/>
  <c r="S17" i="5"/>
  <c r="U16" i="5"/>
  <c r="G45" i="2"/>
  <c r="G47" i="2" s="1"/>
  <c r="Q42" i="2"/>
  <c r="Q45" i="2" s="1"/>
  <c r="G49" i="2" l="1"/>
  <c r="R73" i="2"/>
  <c r="R60" i="2"/>
  <c r="R61" i="2" s="1"/>
  <c r="R62" i="2" s="1"/>
  <c r="R64" i="2" s="1"/>
  <c r="R95" i="2" s="1"/>
  <c r="R88" i="2"/>
  <c r="S41" i="2"/>
  <c r="S42" i="2" s="1"/>
  <c r="S45" i="2" s="1"/>
  <c r="S47" i="2" s="1"/>
  <c r="S49" i="2" s="1"/>
  <c r="T14" i="5"/>
  <c r="T17" i="5"/>
  <c r="Q47" i="2"/>
  <c r="Q49" i="2" s="1"/>
  <c r="R65" i="2" l="1"/>
  <c r="S48" i="2"/>
  <c r="S57" i="2" s="1"/>
  <c r="S79" i="2" s="1"/>
  <c r="G48" i="2"/>
  <c r="Q48" i="2"/>
  <c r="R98" i="2"/>
  <c r="R102" i="2" s="1"/>
  <c r="U14" i="5"/>
  <c r="F20" i="5"/>
  <c r="H53" i="2" s="1"/>
  <c r="U17" i="5"/>
  <c r="F21" i="5" s="1"/>
  <c r="H37" i="2" s="1"/>
  <c r="S60" i="2" l="1"/>
  <c r="S61" i="2" s="1"/>
  <c r="T57" i="2"/>
  <c r="T60" i="2" s="1"/>
  <c r="S73" i="2"/>
  <c r="V14" i="5"/>
  <c r="V17" i="5"/>
  <c r="G21" i="5" s="1"/>
  <c r="I37" i="2" s="1"/>
  <c r="S112" i="2" l="1"/>
  <c r="T61" i="2"/>
  <c r="T62" i="2" s="1"/>
  <c r="S62" i="2"/>
  <c r="S64" i="2" s="1"/>
  <c r="S65" i="2" s="1"/>
  <c r="S114" i="2" s="1"/>
  <c r="F120" i="2"/>
  <c r="F88" i="2"/>
  <c r="S95" i="2" l="1"/>
  <c r="T112" i="2"/>
  <c r="T64" i="2"/>
  <c r="H109" i="2"/>
  <c r="G54" i="2"/>
  <c r="G80" i="2" s="1"/>
  <c r="T95" i="2" l="1"/>
  <c r="S98" i="2" s="1"/>
  <c r="S102" i="2" s="1"/>
  <c r="T65" i="2"/>
  <c r="T114" i="2" s="1"/>
  <c r="S116" i="2" s="1"/>
  <c r="S120" i="2" s="1"/>
  <c r="E29" i="5"/>
  <c r="I38" i="2" s="1"/>
  <c r="G55" i="2"/>
  <c r="G57" i="2" s="1"/>
  <c r="G73" i="2" s="1"/>
  <c r="D29" i="5"/>
  <c r="H38" i="2" s="1"/>
  <c r="H54" i="2"/>
  <c r="G60" i="2" l="1"/>
  <c r="G79" i="2"/>
  <c r="G74" i="2"/>
  <c r="G76" i="2" s="1"/>
  <c r="I110" i="2"/>
  <c r="H80" i="2"/>
  <c r="H55" i="2"/>
  <c r="I41" i="2"/>
  <c r="I42" i="2" s="1"/>
  <c r="I81" i="2"/>
  <c r="F29" i="5"/>
  <c r="J38" i="2" s="1"/>
  <c r="I54" i="2"/>
  <c r="H110" i="2"/>
  <c r="I109" i="2"/>
  <c r="G84" i="2" l="1"/>
  <c r="G88" i="2" s="1"/>
  <c r="G61" i="2"/>
  <c r="G75" i="2"/>
  <c r="G29" i="5"/>
  <c r="K38" i="2" s="1"/>
  <c r="J54" i="2"/>
  <c r="H81" i="2"/>
  <c r="H41" i="2"/>
  <c r="H42" i="2" s="1"/>
  <c r="I45" i="2"/>
  <c r="I47" i="2" s="1"/>
  <c r="I49" i="2" s="1"/>
  <c r="J109" i="2"/>
  <c r="I55" i="2"/>
  <c r="I80" i="2"/>
  <c r="J110" i="2"/>
  <c r="I48" i="2" l="1"/>
  <c r="I57" i="2" s="1"/>
  <c r="G62" i="2"/>
  <c r="G112" i="2"/>
  <c r="H45" i="2"/>
  <c r="H47" i="2" s="1"/>
  <c r="H49" i="2" s="1"/>
  <c r="J81" i="2"/>
  <c r="J41" i="2"/>
  <c r="J42" i="2" s="1"/>
  <c r="K54" i="2"/>
  <c r="H29" i="5"/>
  <c r="L38" i="2" s="1"/>
  <c r="K109" i="2"/>
  <c r="J80" i="2"/>
  <c r="J55" i="2"/>
  <c r="K110" i="2"/>
  <c r="H48" i="2" l="1"/>
  <c r="H57" i="2" s="1"/>
  <c r="H73" i="2" s="1"/>
  <c r="H74" i="2" s="1"/>
  <c r="H76" i="2" s="1"/>
  <c r="G64" i="2"/>
  <c r="G95" i="2" s="1"/>
  <c r="G98" i="2" s="1"/>
  <c r="G102" i="2" s="1"/>
  <c r="I73" i="2"/>
  <c r="I60" i="2"/>
  <c r="I79" i="2"/>
  <c r="J45" i="2"/>
  <c r="J47" i="2" s="1"/>
  <c r="J49" i="2" s="1"/>
  <c r="L109" i="2"/>
  <c r="K55" i="2"/>
  <c r="K80" i="2"/>
  <c r="K81" i="2"/>
  <c r="K41" i="2"/>
  <c r="K42" i="2" s="1"/>
  <c r="L110" i="2"/>
  <c r="H79" i="2" l="1"/>
  <c r="H84" i="2" s="1"/>
  <c r="H88" i="2" s="1"/>
  <c r="H60" i="2"/>
  <c r="J48" i="2"/>
  <c r="J57" i="2" s="1"/>
  <c r="J79" i="2" s="1"/>
  <c r="G65" i="2"/>
  <c r="G114" i="2" s="1"/>
  <c r="G116" i="2" s="1"/>
  <c r="G120" i="2" s="1"/>
  <c r="I84" i="2"/>
  <c r="I88" i="2" s="1"/>
  <c r="H61" i="2"/>
  <c r="I61" i="2"/>
  <c r="H75" i="2"/>
  <c r="I74" i="2" s="1"/>
  <c r="I76" i="2" s="1"/>
  <c r="K45" i="2"/>
  <c r="K47" i="2" s="1"/>
  <c r="K49" i="2" s="1"/>
  <c r="L81" i="2"/>
  <c r="L41" i="2"/>
  <c r="L42" i="2" s="1"/>
  <c r="I29" i="5"/>
  <c r="M38" i="2" s="1"/>
  <c r="L54" i="2"/>
  <c r="M109" i="2"/>
  <c r="J60" i="2" l="1"/>
  <c r="J61" i="2" s="1"/>
  <c r="J73" i="2"/>
  <c r="K48" i="2"/>
  <c r="K57" i="2" s="1"/>
  <c r="K79" i="2" s="1"/>
  <c r="J84" i="2"/>
  <c r="J88" i="2" s="1"/>
  <c r="I62" i="2"/>
  <c r="I112" i="2"/>
  <c r="H62" i="2"/>
  <c r="H64" i="2" s="1"/>
  <c r="H112" i="2"/>
  <c r="I75" i="2"/>
  <c r="L45" i="2"/>
  <c r="L47" i="2" s="1"/>
  <c r="L49" i="2" s="1"/>
  <c r="M110" i="2"/>
  <c r="M54" i="2"/>
  <c r="J29" i="5"/>
  <c r="L80" i="2"/>
  <c r="L55" i="2"/>
  <c r="O109" i="2"/>
  <c r="N109" i="2"/>
  <c r="K60" i="2" l="1"/>
  <c r="K61" i="2" s="1"/>
  <c r="K73" i="2"/>
  <c r="J74" i="2"/>
  <c r="J76" i="2" s="1"/>
  <c r="L48" i="2"/>
  <c r="L57" i="2" s="1"/>
  <c r="I64" i="2"/>
  <c r="I95" i="2" s="1"/>
  <c r="I98" i="2" s="1"/>
  <c r="I102" i="2" s="1"/>
  <c r="K84" i="2"/>
  <c r="K88" i="2" s="1"/>
  <c r="J62" i="2"/>
  <c r="J112" i="2"/>
  <c r="H95" i="2"/>
  <c r="N38" i="2"/>
  <c r="N110" i="2"/>
  <c r="M81" i="2"/>
  <c r="M41" i="2"/>
  <c r="M42" i="2" s="1"/>
  <c r="N54" i="2"/>
  <c r="K29" i="5"/>
  <c r="M80" i="2"/>
  <c r="M55" i="2"/>
  <c r="J75" i="2" l="1"/>
  <c r="K74" i="2" s="1"/>
  <c r="K76" i="2" s="1"/>
  <c r="I65" i="2"/>
  <c r="I114" i="2" s="1"/>
  <c r="I116" i="2" s="1"/>
  <c r="I120" i="2" s="1"/>
  <c r="J64" i="2"/>
  <c r="J95" i="2" s="1"/>
  <c r="J98" i="2" s="1"/>
  <c r="J102" i="2" s="1"/>
  <c r="H98" i="2"/>
  <c r="H102" i="2" s="1"/>
  <c r="K62" i="2"/>
  <c r="K112" i="2"/>
  <c r="H65" i="2"/>
  <c r="H114" i="2" s="1"/>
  <c r="H116" i="2" s="1"/>
  <c r="L73" i="2"/>
  <c r="L60" i="2"/>
  <c r="L79" i="2"/>
  <c r="M45" i="2"/>
  <c r="M47" i="2" s="1"/>
  <c r="M49" i="2" s="1"/>
  <c r="N80" i="2"/>
  <c r="N55" i="2"/>
  <c r="L29" i="5"/>
  <c r="P54" i="2"/>
  <c r="O54" i="2"/>
  <c r="N41" i="2"/>
  <c r="N42" i="2" s="1"/>
  <c r="N81" i="2"/>
  <c r="O110" i="2"/>
  <c r="O38" i="2"/>
  <c r="K75" i="2" l="1"/>
  <c r="L74" i="2" s="1"/>
  <c r="L76" i="2" s="1"/>
  <c r="M48" i="2"/>
  <c r="M57" i="2" s="1"/>
  <c r="M73" i="2" s="1"/>
  <c r="K64" i="2"/>
  <c r="K95" i="2" s="1"/>
  <c r="K98" i="2" s="1"/>
  <c r="K102" i="2" s="1"/>
  <c r="J65" i="2"/>
  <c r="J114" i="2" s="1"/>
  <c r="J116" i="2" s="1"/>
  <c r="J120" i="2" s="1"/>
  <c r="L84" i="2"/>
  <c r="L88" i="2" s="1"/>
  <c r="H120" i="2"/>
  <c r="L61" i="2"/>
  <c r="N45" i="2"/>
  <c r="N47" i="2" s="1"/>
  <c r="N49" i="2" s="1"/>
  <c r="O81" i="2"/>
  <c r="O41" i="2"/>
  <c r="O42" i="2" s="1"/>
  <c r="O80" i="2"/>
  <c r="O55" i="2"/>
  <c r="P55" i="2"/>
  <c r="P80" i="2"/>
  <c r="Q55" i="2"/>
  <c r="Q57" i="2" s="1"/>
  <c r="Q80" i="2"/>
  <c r="P110" i="2"/>
  <c r="P38" i="2"/>
  <c r="M60" i="2" l="1"/>
  <c r="M61" i="2" s="1"/>
  <c r="M79" i="2"/>
  <c r="M84" i="2" s="1"/>
  <c r="M88" i="2" s="1"/>
  <c r="N48" i="2"/>
  <c r="N57" i="2" s="1"/>
  <c r="N73" i="2" s="1"/>
  <c r="K65" i="2"/>
  <c r="K114" i="2" s="1"/>
  <c r="K116" i="2" s="1"/>
  <c r="K120" i="2" s="1"/>
  <c r="Q60" i="2"/>
  <c r="Q61" i="2" s="1"/>
  <c r="Q73" i="2"/>
  <c r="L75" i="2"/>
  <c r="M74" i="2" s="1"/>
  <c r="M76" i="2" s="1"/>
  <c r="L62" i="2"/>
  <c r="L112" i="2"/>
  <c r="P81" i="2"/>
  <c r="P41" i="2"/>
  <c r="P42" i="2" s="1"/>
  <c r="O45" i="2"/>
  <c r="O47" i="2" s="1"/>
  <c r="O49" i="2" s="1"/>
  <c r="Q79" i="2"/>
  <c r="Q84" i="2" s="1"/>
  <c r="N60" i="2" l="1"/>
  <c r="N61" i="2" s="1"/>
  <c r="N79" i="2"/>
  <c r="O48" i="2"/>
  <c r="O57" i="2" s="1"/>
  <c r="O73" i="2" s="1"/>
  <c r="L64" i="2"/>
  <c r="L95" i="2" s="1"/>
  <c r="L98" i="2" s="1"/>
  <c r="L102" i="2" s="1"/>
  <c r="N84" i="2"/>
  <c r="N88" i="2" s="1"/>
  <c r="R112" i="2"/>
  <c r="Q112" i="2"/>
  <c r="M62" i="2"/>
  <c r="M112" i="2"/>
  <c r="Q62" i="2"/>
  <c r="Q64" i="2" s="1"/>
  <c r="M75" i="2"/>
  <c r="N74" i="2" s="1"/>
  <c r="N76" i="2" s="1"/>
  <c r="T79" i="2"/>
  <c r="S84" i="2" s="1"/>
  <c r="P45" i="2"/>
  <c r="P47" i="2" s="1"/>
  <c r="P49" i="2" s="1"/>
  <c r="O79" i="2" l="1"/>
  <c r="O84" i="2" s="1"/>
  <c r="O88" i="2" s="1"/>
  <c r="O60" i="2"/>
  <c r="O61" i="2" s="1"/>
  <c r="P48" i="2"/>
  <c r="P57" i="2" s="1"/>
  <c r="P73" i="2" s="1"/>
  <c r="M64" i="2"/>
  <c r="M95" i="2" s="1"/>
  <c r="M98" i="2" s="1"/>
  <c r="M102" i="2" s="1"/>
  <c r="L65" i="2"/>
  <c r="L114" i="2" s="1"/>
  <c r="L116" i="2" s="1"/>
  <c r="L120" i="2" s="1"/>
  <c r="Q88" i="2"/>
  <c r="S88" i="2"/>
  <c r="N62" i="2"/>
  <c r="N64" i="2" s="1"/>
  <c r="N112" i="2"/>
  <c r="N75" i="2"/>
  <c r="O74" i="2" s="1"/>
  <c r="O76" i="2" s="1"/>
  <c r="Q95" i="2"/>
  <c r="P60" i="2" l="1"/>
  <c r="P61" i="2" s="1"/>
  <c r="P79" i="2"/>
  <c r="P84" i="2" s="1"/>
  <c r="P88" i="2" s="1"/>
  <c r="F90" i="2" s="1"/>
  <c r="M65" i="2"/>
  <c r="M114" i="2" s="1"/>
  <c r="M116" i="2" s="1"/>
  <c r="M120" i="2" s="1"/>
  <c r="Q98" i="2"/>
  <c r="Q102" i="2" s="1"/>
  <c r="O62" i="2"/>
  <c r="O64" i="2" s="1"/>
  <c r="O112" i="2"/>
  <c r="Q65" i="2"/>
  <c r="Q114" i="2" s="1"/>
  <c r="Q116" i="2" s="1"/>
  <c r="N95" i="2"/>
  <c r="O75" i="2"/>
  <c r="P74" i="2" s="1"/>
  <c r="P76" i="2" s="1"/>
  <c r="N98" i="2" l="1"/>
  <c r="N102" i="2" s="1"/>
  <c r="N65" i="2"/>
  <c r="N114" i="2" s="1"/>
  <c r="N116" i="2" s="1"/>
  <c r="P62" i="2"/>
  <c r="P64" i="2" s="1"/>
  <c r="P95" i="2" s="1"/>
  <c r="P112" i="2"/>
  <c r="O95" i="2"/>
  <c r="R114" i="2"/>
  <c r="R116" i="2" s="1"/>
  <c r="P75" i="2"/>
  <c r="P98" i="2" l="1"/>
  <c r="P102" i="2" s="1"/>
  <c r="O98" i="2"/>
  <c r="O102" i="2" s="1"/>
  <c r="Q120" i="2"/>
  <c r="R120" i="2"/>
  <c r="Q74" i="2"/>
  <c r="Q76" i="2" s="1"/>
  <c r="N120" i="2"/>
  <c r="O65" i="2"/>
  <c r="O114" i="2" s="1"/>
  <c r="O116" i="2" s="1"/>
  <c r="P65" i="2" l="1"/>
  <c r="P114" i="2" s="1"/>
  <c r="P116" i="2" s="1"/>
  <c r="P120" i="2" s="1"/>
  <c r="Q75" i="2"/>
  <c r="O120" i="2"/>
  <c r="F122" i="2" l="1"/>
  <c r="R74" i="2"/>
  <c r="R76" i="2" s="1"/>
  <c r="R75" i="2" l="1"/>
  <c r="S74" i="2" s="1"/>
  <c r="S76" i="2" s="1"/>
  <c r="S75" i="2" l="1"/>
  <c r="F102" i="2"/>
  <c r="F104" i="2" s="1"/>
</calcChain>
</file>

<file path=xl/comments1.xml><?xml version="1.0" encoding="utf-8"?>
<comments xmlns="http://schemas.openxmlformats.org/spreadsheetml/2006/main">
  <authors>
    <author>Sharon Liu</author>
  </authors>
  <commentList>
    <comment ref="D4" authorId="0" shapeId="0">
      <text>
        <r>
          <rPr>
            <b/>
            <sz val="9"/>
            <color indexed="81"/>
            <rFont val="Tahoma"/>
            <family val="2"/>
          </rPr>
          <t>Sharon Liu:</t>
        </r>
        <r>
          <rPr>
            <sz val="9"/>
            <color indexed="81"/>
            <rFont val="Tahoma"/>
            <family val="2"/>
          </rPr>
          <t xml:space="preserve">
 Include Anguilla, Antigua and Barbuda, Aruba, Barbados, Bermuda, Bonaire, the British Virgin Islands, the Cayman Islands, Curaçao, Dominica, El Salvador, Fiji, Guyana, Monsterrat, Nauru, Samoa, St. Kitts and Nevis, Suriname, Tonga, Turks and Caicos, and Vanuatu, Digicel Holdings (Central America) Limited, Panama</t>
        </r>
      </text>
    </comment>
    <comment ref="H4" authorId="0" shapeId="0">
      <text>
        <r>
          <rPr>
            <b/>
            <sz val="9"/>
            <color indexed="81"/>
            <rFont val="Tahoma"/>
            <family val="2"/>
          </rPr>
          <t>Sharon Liu:</t>
        </r>
        <r>
          <rPr>
            <sz val="9"/>
            <color indexed="81"/>
            <rFont val="Tahoma"/>
            <family val="2"/>
          </rPr>
          <t xml:space="preserve">
 Include Anguilla, Antigua and Barbuda, Aruba, Barbados, Bermuda, Bonaire, the British Virgin Islands, the Cayman Islands, Curaçao, Dominica, El Salvador, Fiji, Guyana, Monsterrat, Nauru, Samoa, St. Kitts and Nevis, Suriname, Tonga, Turks and Caicos, and Vanuatu, Digicel Holdings (Central America) Limited, Panama</t>
        </r>
      </text>
    </comment>
    <comment ref="L4" authorId="0" shapeId="0">
      <text>
        <r>
          <rPr>
            <b/>
            <sz val="9"/>
            <color indexed="81"/>
            <rFont val="Tahoma"/>
            <family val="2"/>
          </rPr>
          <t>Sharon Liu:</t>
        </r>
        <r>
          <rPr>
            <sz val="9"/>
            <color indexed="81"/>
            <rFont val="Tahoma"/>
            <family val="2"/>
          </rPr>
          <t xml:space="preserve">
 Include Anguilla, Antigua and Barbuda, Aruba, Barbados, Bermuda, Bonaire, the British Virgin Islands, the Cayman Islands, Curaçao, Dominica, El Salvador, Fiji, Guyana, Monsterrat, Nauru, Samoa, St. Kitts and Nevis, Suriname, Tonga, Turks and Caicos, and Vanuatu, Digicel Holdings (Central America) Limited, Panama</t>
        </r>
      </text>
    </comment>
  </commentList>
</comments>
</file>

<file path=xl/comments2.xml><?xml version="1.0" encoding="utf-8"?>
<comments xmlns="http://schemas.openxmlformats.org/spreadsheetml/2006/main">
  <authors>
    <author>tc={518C0C5A-C9AE-9141-8D5B-B527165A9B6D}</author>
    <author>Sharon Liu</author>
    <author>tc={430AC1FC-51C7-814D-8192-1B7C4F5141F1}</author>
    <author>tc={8480D294-BC60-2347-AAA7-44C9143CBB42}</author>
    <author>tc={59122A1F-956B-A041-91F5-384355D6CEA8}</author>
    <author>tc={7F2BBC4C-A408-3445-92B5-F3FCC02FA85F}</author>
    <author>tc={65504F98-E514-E840-BBA3-097CB608460F}</author>
    <author>tc={59AFE398-B1E3-C248-9BFC-079D52119CCD}</author>
    <author>tc={AF8DF640-7414-C840-9A12-B156A90FBA3C}</author>
    <author>tc={7AAD0AB5-001B-F140-AF21-A011D7B9FFD3}</author>
    <author>tc={E7382217-4315-4847-B1A5-052B74CAC75A}</author>
    <author>tc={D9984370-6A7F-C443-A543-E253E9B8A0D6}</author>
    <author>tc={4BC78DEC-F6BB-F94A-AAAD-3DC504E1F70A}</author>
    <author>tc={6456C514-19D0-7F45-ABF4-BE36E5457791}</author>
    <author>tc={AD17FC88-E89A-1540-BA75-EDE1ECF8A8AA}</author>
    <author>tc={EA52D589-3CAC-AB47-AD4D-7D2C3631A6BF}</author>
    <author>tc={E5EF85CD-36B8-F943-A7FD-35573C7A7905}</author>
  </authors>
  <commentList>
    <comment ref="L26"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When the deal is likely be finished</t>
        </r>
      </text>
    </comment>
    <comment ref="T56" authorId="1" shapeId="0">
      <text>
        <r>
          <rPr>
            <b/>
            <sz val="9"/>
            <color rgb="FF000000"/>
            <rFont val="Tahoma"/>
            <family val="2"/>
          </rPr>
          <t>Sharon Liu:</t>
        </r>
        <r>
          <rPr>
            <sz val="9"/>
            <color rgb="FF000000"/>
            <rFont val="Tahoma"/>
            <family val="2"/>
          </rPr>
          <t xml:space="preserve">
</t>
        </r>
        <r>
          <rPr>
            <sz val="9"/>
            <color rgb="FF000000"/>
            <rFont val="Tahoma"/>
            <family val="2"/>
          </rPr>
          <t>Always use WACC to calculate</t>
        </r>
      </text>
    </comment>
    <comment ref="P69" authorId="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condition:=0</t>
        </r>
      </text>
    </comment>
    <comment ref="G76" authorId="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condition:=0</t>
        </r>
      </text>
    </comment>
    <comment ref="H76" authorId="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condition:=0</t>
        </r>
      </text>
    </comment>
    <comment ref="I76" authorId="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condition:=0</t>
        </r>
      </text>
    </comment>
    <comment ref="J76" authorId="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condition:=0</t>
        </r>
      </text>
    </comment>
    <comment ref="K76" authorId="7"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condition:=0</t>
        </r>
      </text>
    </comment>
    <comment ref="L76" authorId="8"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condition:=0</t>
        </r>
      </text>
    </comment>
    <comment ref="M76" authorId="9"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condition:=0</t>
        </r>
      </text>
    </comment>
    <comment ref="N76" authorId="1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condition:=0</t>
        </r>
      </text>
    </comment>
    <comment ref="O76" authorId="1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condition:=0</t>
        </r>
      </text>
    </comment>
    <comment ref="P76" authorId="1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condition:=0</t>
        </r>
      </text>
    </comment>
    <comment ref="L78" authorId="1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When the deal is likely be finished</t>
        </r>
      </text>
    </comment>
    <comment ref="A84" authorId="14"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=(EBITDA-Interest-Taxes-D&amp;A)+D&amp;A-change in working capital-capex+net borrowing
https://corporatefinanceinstitute.com/resources/knowledge/accounting/how-to-calculate-fcfe-from-ebitda/</t>
        </r>
      </text>
    </comment>
    <comment ref="L93" authorId="15"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When the deal is likely be finished</t>
        </r>
      </text>
    </comment>
    <comment ref="L107" authorId="16"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When the deal is likely be finished</t>
        </r>
      </text>
    </comment>
  </commentList>
</comments>
</file>

<file path=xl/sharedStrings.xml><?xml version="1.0" encoding="utf-8"?>
<sst xmlns="http://schemas.openxmlformats.org/spreadsheetml/2006/main" count="684" uniqueCount="358">
  <si>
    <t>95M Kina</t>
  </si>
  <si>
    <t>Investment</t>
  </si>
  <si>
    <t>1.6BUSD</t>
  </si>
  <si>
    <t>Investment breakdown</t>
  </si>
  <si>
    <t>Medium to long-term capex to sales</t>
  </si>
  <si>
    <t>Future investment</t>
  </si>
  <si>
    <t>EV/EBITDA (FY21)</t>
  </si>
  <si>
    <t>"Telstra to acquire Digicel Pacific in partnership with the Australian Government" (https://www.telstra.com.au/aboutus/investors/announcements)</t>
  </si>
  <si>
    <t>Source</t>
  </si>
  <si>
    <t>Telstra</t>
  </si>
  <si>
    <t>100% of ordinary equity</t>
  </si>
  <si>
    <t>Founded in</t>
  </si>
  <si>
    <t>5.8-6.9</t>
  </si>
  <si>
    <t>Business info of Digicel Pacific</t>
  </si>
  <si>
    <t>Background</t>
  </si>
  <si>
    <t>76% from mobile services</t>
  </si>
  <si>
    <t>24% from business solutions, TV, and broadband services</t>
  </si>
  <si>
    <t>Customer</t>
  </si>
  <si>
    <t>1,500 small to medium business enterprises, 250 large enterprises, and 200 corporates in PNG</t>
  </si>
  <si>
    <t>Telstra-Digicel deal</t>
  </si>
  <si>
    <t xml:space="preserve">Operating in </t>
  </si>
  <si>
    <t>PNG, Fiji, Nauru, Samoa, Tonga, Vanuatu</t>
  </si>
  <si>
    <t>Employee</t>
  </si>
  <si>
    <t>Revenue streams</t>
  </si>
  <si>
    <t>4G network expected to reach 55% of population in PNG</t>
  </si>
  <si>
    <t>720MUSD in 10-year "competitively priced" debt, 610MUSD government equity with non-controlling interest</t>
  </si>
  <si>
    <t>"Behind the numbers on Telstra's $2.5b Digicel Pacific deal"</t>
  </si>
  <si>
    <t>EBITDA (FY21)</t>
  </si>
  <si>
    <t>233MUSD</t>
  </si>
  <si>
    <t>431MUSD</t>
  </si>
  <si>
    <t>Expected deal completing time</t>
  </si>
  <si>
    <t>2022 January to 2022 April</t>
  </si>
  <si>
    <t>Expected prefered return</t>
  </si>
  <si>
    <t>45MUSD for the first sixe years</t>
  </si>
  <si>
    <t>Subscribers (FY19)</t>
  </si>
  <si>
    <t>Subscribers (FY20)</t>
  </si>
  <si>
    <t>Subscribers (FY21)</t>
  </si>
  <si>
    <t>ARPU (FY19)</t>
  </si>
  <si>
    <t>ARPU (FY20)</t>
  </si>
  <si>
    <t>ARPU (FY21)</t>
  </si>
  <si>
    <t>Service revenue (FY19)</t>
  </si>
  <si>
    <t>Service revenue (FY20)</t>
  </si>
  <si>
    <t>Service revenue (FY21)</t>
  </si>
  <si>
    <t>458MUSD</t>
  </si>
  <si>
    <t>455MUSD</t>
  </si>
  <si>
    <t>EBITDA (FY19)</t>
  </si>
  <si>
    <t>EBITDA (FY20)</t>
  </si>
  <si>
    <t>208MUSD</t>
  </si>
  <si>
    <t>232MUSD</t>
  </si>
  <si>
    <t>Note</t>
  </si>
  <si>
    <t>=1.6BUSD/233MUSD</t>
  </si>
  <si>
    <t>2.5 millions</t>
  </si>
  <si>
    <t>Capex (FY19)</t>
  </si>
  <si>
    <t>Capex (FY20)</t>
  </si>
  <si>
    <t>Capex (FY21)</t>
  </si>
  <si>
    <t>69MUSD</t>
  </si>
  <si>
    <t>49MUSD</t>
  </si>
  <si>
    <t>57MUSD</t>
  </si>
  <si>
    <t>"What Telstra is buying in the Pacific"</t>
  </si>
  <si>
    <t>Market</t>
  </si>
  <si>
    <t>Population (PNG)</t>
  </si>
  <si>
    <t>Population (Fiji)</t>
  </si>
  <si>
    <t>Population (Vanuatu)</t>
  </si>
  <si>
    <t>Population (Tonga)</t>
  </si>
  <si>
    <t>Population (Samoa)</t>
  </si>
  <si>
    <t>Population (Nauru)</t>
  </si>
  <si>
    <t>Market share (PNG)</t>
  </si>
  <si>
    <t>Market share (Fiji)</t>
  </si>
  <si>
    <t>Market share (Vanuatu)</t>
  </si>
  <si>
    <t>Market share (Samoa)</t>
  </si>
  <si>
    <t>Market share (Tonga)</t>
  </si>
  <si>
    <t>Market share (Nauru)</t>
  </si>
  <si>
    <t>Profitability</t>
  </si>
  <si>
    <t>License</t>
  </si>
  <si>
    <t>FY21</t>
  </si>
  <si>
    <t>EBITDA growth rate</t>
  </si>
  <si>
    <t>FY19</t>
  </si>
  <si>
    <t>FY20</t>
  </si>
  <si>
    <t>Free cash flow/sales</t>
  </si>
  <si>
    <t>Average revenue per user per month</t>
  </si>
  <si>
    <t>Tax (PNG)</t>
  </si>
  <si>
    <t>"Generally, tax is only levied on Australian resident companies for income-producing activities that occur in Australia."</t>
  </si>
  <si>
    <t>https://www.aph.gov.au/About_Parliament/Parliamentary_Departments/Parliamentary_Library/pubs/BriefingBook46p/MultinationalTaxation</t>
  </si>
  <si>
    <t>Subscriber (million)</t>
  </si>
  <si>
    <t>ARPU (per month)</t>
  </si>
  <si>
    <t>Service revenue (MUSD)</t>
  </si>
  <si>
    <t>Revenue growth rate</t>
  </si>
  <si>
    <t>EBITDA (MUSD)</t>
  </si>
  <si>
    <t>EBITDA margin</t>
  </si>
  <si>
    <t>change in working capital</t>
  </si>
  <si>
    <t>Capex to sales</t>
  </si>
  <si>
    <t>EBIT</t>
  </si>
  <si>
    <t>Source:</t>
  </si>
  <si>
    <t>Depreciation and amortisation</t>
  </si>
  <si>
    <t>Change in working capital</t>
  </si>
  <si>
    <t>Corporate Tax for multinational (Australia)</t>
  </si>
  <si>
    <t>Corporate tax (Fiji)</t>
  </si>
  <si>
    <t>Corporate tax (PNG)</t>
  </si>
  <si>
    <t>Corporate tax (Samoa)</t>
  </si>
  <si>
    <t>Corporate tax (Tonga)</t>
  </si>
  <si>
    <t>Corporate tax (Vanuatu)</t>
  </si>
  <si>
    <t>Corporate tax (Nauru)</t>
  </si>
  <si>
    <t>List of Countries by Corporate Tax Rate | Australia (tradingeconomics.com)</t>
  </si>
  <si>
    <t>20%-25%</t>
  </si>
  <si>
    <t>https://view.officeapps.live.com/op/view.aspx?src=https%3A%2F%2Fnaurufinance.info%2Fwp-content%2Fuploads%2F2020%2F09%2FNauru-Tax-Rates-1-July-2020-B.docx%23%3A~%3Atext%3DThere%2520are%2520three%2520taxes%2520imposed%2520under%2520the%2520BTA%25E2%2580%2593%2Can%2520annual%2520gross%2520revenue%2520not%2520exceeding%2520%2524%2520250%252C000.&amp;wdOrigin=BROWSELINK</t>
  </si>
  <si>
    <t>15 years in PNG</t>
  </si>
  <si>
    <t>WACC</t>
  </si>
  <si>
    <t>https://www.sec.gov/Archives/edgar/data/0001810777/000095010320009547/dp127775_ex-t3e.htm</t>
  </si>
  <si>
    <t>Year ended in March</t>
  </si>
  <si>
    <t>Digicel Pacific</t>
  </si>
  <si>
    <t>Years ended 31 March 2019</t>
  </si>
  <si>
    <t>Digicel Group</t>
  </si>
  <si>
    <t>PNG</t>
  </si>
  <si>
    <t>Other markets</t>
  </si>
  <si>
    <t>Total segment revenue</t>
  </si>
  <si>
    <t>Inter-segment revenue</t>
  </si>
  <si>
    <t>External revenue</t>
  </si>
  <si>
    <t>Depreciation, amortisation and impairment of property, plant and equipment and intangible assets</t>
  </si>
  <si>
    <t>Other income</t>
  </si>
  <si>
    <t>Other non-operational expenses</t>
  </si>
  <si>
    <t>Operating profit</t>
  </si>
  <si>
    <t>Finance income</t>
  </si>
  <si>
    <t>Finance costs</t>
  </si>
  <si>
    <t>Share of loss of associates</t>
  </si>
  <si>
    <t>Impairment of loans to associates</t>
  </si>
  <si>
    <t>Loss before taxation</t>
  </si>
  <si>
    <t>Taxation</t>
  </si>
  <si>
    <t>Net loss</t>
  </si>
  <si>
    <t>Cash and cash equivalents</t>
  </si>
  <si>
    <t>Other current assets</t>
  </si>
  <si>
    <t>Non-current assets</t>
  </si>
  <si>
    <t>Total assets</t>
  </si>
  <si>
    <t>Capital expenditure</t>
  </si>
  <si>
    <t>Impairment of property, plant and equipment and intangible assets</t>
  </si>
  <si>
    <t>(in millions)</t>
  </si>
  <si>
    <t>Assumption</t>
  </si>
  <si>
    <t>Provided</t>
  </si>
  <si>
    <t>Corporate income tax rate</t>
  </si>
  <si>
    <t>FY22 est</t>
  </si>
  <si>
    <t>Segment result/adjusted EBITDA</t>
  </si>
  <si>
    <t>loan</t>
  </si>
  <si>
    <t>93MUSD</t>
  </si>
  <si>
    <t>https://www.sec.gov/Archives/edgar/data/0001810777/000095010320009547/dp127775_ex-t3e.htm, p.136</t>
  </si>
  <si>
    <t>Terminal growth rate of cash flow</t>
  </si>
  <si>
    <t>Debt structure (after restructure)</t>
  </si>
  <si>
    <t>https://www.sec.gov/Archives/edgar/data/0001810777/000095010320009547/dp127775_ex-t3e.htm, p.16</t>
  </si>
  <si>
    <t>Prior to restructure</t>
  </si>
  <si>
    <t>Interest rate for DGL0.5 Secured Notes</t>
  </si>
  <si>
    <t>8.0% semi-annually</t>
  </si>
  <si>
    <t>https://www.sec.gov/Archives/edgar/data/0001810777/000095010320009547/dp127775_ex-t3e.htm, p. 145</t>
  </si>
  <si>
    <t>Digicel Pacific Limited will guarantee the New DGL0.5 Secured Notes.</t>
  </si>
  <si>
    <t>On June 18, 2019, Digicel PNG refinanced both of the above facilities with a $95.0 million facility (the “Digicel PNG Facility”) from Bank of South Pacific Limited to be repaid over five years with quarterly repayments of $2.5 million for the first two years and quarterly repayments of $6.25 million for the remainder of the term. The interest rate is Bank of South Pacific Limited’s U.S. Indicator Lending Rate plus a margin of 2.75% per annum for the first year, to be reduced by 0.20% each year to 1.95% for the final year of the facility. The facility is secured by a first priority lien on the assets of Digicel PNG. As of September 30, 2019, $92.5 million was outstanding under the Digicel PNG Facility.</t>
  </si>
  <si>
    <t>https://www.sec.gov/Archives/edgar/data/0001810777/000095010320009547/dp127775_ex-t3e.htm, p16/p.183/p.399</t>
  </si>
  <si>
    <t>Years ended 31 March 2018</t>
  </si>
  <si>
    <t>Years ended 31 March 2017</t>
  </si>
  <si>
    <t>Interest rate</t>
  </si>
  <si>
    <t>U.S. Indicator lending rate</t>
  </si>
  <si>
    <t>https://www.bsp.com.vu/about-us/rates-fees/foreign-currency-indicator-lending-rates/</t>
  </si>
  <si>
    <t>Non-current assets (FY20)</t>
  </si>
  <si>
    <t>https://www.sec.gov/Archives/edgar/data/0001810777/000095010320009547/dp127775_ex-t3e.htm, p.130</t>
  </si>
  <si>
    <t>https://www.sec.gov/Archives/edgar/data/1810777/000095010320009547/dp127775_ex-t3e.htm, pp.656-658</t>
  </si>
  <si>
    <t>805.41MUSD</t>
  </si>
  <si>
    <t>D&amp;A as % of non-current assets</t>
  </si>
  <si>
    <t>Average</t>
  </si>
  <si>
    <t>Depreciation and amortization (MUSD)</t>
  </si>
  <si>
    <t>Outstanding loan (MUSD)</t>
  </si>
  <si>
    <t>Repayment (MUSD)</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</si>
  <si>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</si>
  <si>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</si>
  <si>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</si>
  <si>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</si>
  <si>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</si>
  <si>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</si>
  <si>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</si>
  <si>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</si>
  <si>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</si>
  <si>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</si>
  <si>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</si>
  <si>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</si>
  <si>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</si>
  <si>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</si>
  <si>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</si>
  <si>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</si>
  <si>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</si>
  <si>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</si>
  <si>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</si>
  <si>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</si>
  <si>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</si>
  <si>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Interest expenses (MUSD)</t>
  </si>
  <si>
    <t>FY2020</t>
  </si>
  <si>
    <t>FY2021</t>
  </si>
  <si>
    <t>FY2022</t>
  </si>
  <si>
    <t>FY2023</t>
  </si>
  <si>
    <t>FY2024</t>
  </si>
  <si>
    <t>FY2025</t>
  </si>
  <si>
    <t>FY2026…</t>
  </si>
  <si>
    <t>FY23 est</t>
  </si>
  <si>
    <t>FY24 est</t>
  </si>
  <si>
    <t>FY25 est</t>
  </si>
  <si>
    <t>FY26 est</t>
  </si>
  <si>
    <t>NPV</t>
  </si>
  <si>
    <t>FY27 est</t>
  </si>
  <si>
    <t>Terminal net cashflow growth rate</t>
  </si>
  <si>
    <t>D&amp;A to capex</t>
  </si>
  <si>
    <t>Discount factor</t>
  </si>
  <si>
    <t>Year</t>
  </si>
  <si>
    <t>PV in FY22</t>
  </si>
  <si>
    <t>IRR</t>
  </si>
  <si>
    <t>For Telstra</t>
  </si>
  <si>
    <t>Australian export finance loan</t>
  </si>
  <si>
    <t>https://www.exportfinance.gov.au/media/6862/export-finance-australia-product-comparison-table-may-2020.pdf</t>
  </si>
  <si>
    <t>FY2026</t>
  </si>
  <si>
    <t>FY2027</t>
  </si>
  <si>
    <t>FY2028</t>
  </si>
  <si>
    <t>FY2029</t>
  </si>
  <si>
    <t>FY2030</t>
  </si>
  <si>
    <t>FY2031</t>
  </si>
  <si>
    <t>FY2032</t>
  </si>
  <si>
    <t>FY28 est</t>
  </si>
  <si>
    <t>FY29 est</t>
  </si>
  <si>
    <t>FY30 est</t>
  </si>
  <si>
    <t>FY31 est</t>
  </si>
  <si>
    <t>FY32 est</t>
  </si>
  <si>
    <t>FY33 est</t>
  </si>
  <si>
    <t>The whole deal</t>
  </si>
  <si>
    <t>Outstanding loan(Digicel PNG Facility, MUSD)</t>
  </si>
  <si>
    <t>Net borrowing (MUSD)</t>
  </si>
  <si>
    <t>Capex (MUSD)</t>
  </si>
  <si>
    <t>Net earnings (MUSD)</t>
  </si>
  <si>
    <t>PNG monopoly tax (MUSD)</t>
  </si>
  <si>
    <t>Telstra equity investment (MUSD)</t>
  </si>
  <si>
    <t>Interest income</t>
  </si>
  <si>
    <t>Digicel Pacific Secured Credit Facilities
Digicel (PNG) Limited
On July 27, 2016, Digicel (PNG) Limited (“Digicel PNG”) a wholly owned indirect subsidiary of Digicel Pacific Limited, entered into a $70.0 million loan facility with Bank of South Pacific Limited to refinance existing debt and for general corporate purposes. The loan had a tenor of three years and was repayable in full on the maturity date. The interest rate was Bank of South Pacific Limited’s U.S. Indicator Lending Rate plus a margin of 2.75% per annum. The facility was secured by a first priority lien on the assets of Digicel (PNG) Limited.
In March 2017, Digicel PNG entered into a $25.0 million loan facility with Bank of South Pacific Limited to acquire another subsidiary of Digicel Pacific Limited. The loan had a tenor of three years and was repayable in full on the maturity date. The interest rate was Bank of South Pacific Limited’s U.S. Indicator Lending Rate plus a margin of 2.75% per annum. The facility was secured by a charge over cash deposits of a similar amount.
On June 18, 2019, Digicel PNG refinanced both of the above facilities with a $95.0 million facility (the “Digicel PNG Facility”) from Bank of South Pacific Limited to be repaid over five years with quarterly repayments of $2.5 million for the first two years and quarterly repayments of $6.25 million for the remainder of the term. The interest rate is Bank of South Pacific Limited’s U.S. Indicator Lending Rate plus a margin of 2.75% per annum for the first year, to be reduced by 0.20% each year to 1.95% for the final year of the facility. The facility is secured by a first priority lien on the assets of Digicel PNG. As of September 30, 2019, $92.5 million was outstanding under the Digicel PNG Facility.</t>
  </si>
  <si>
    <t>1)Digicel PNG Facility</t>
  </si>
  <si>
    <t>dividend withholding tax rate</t>
  </si>
  <si>
    <t>Key assumptions</t>
  </si>
  <si>
    <t>Distributed profit after tax (MUSD)</t>
  </si>
  <si>
    <t>Rate of profit distribution to owners</t>
  </si>
  <si>
    <t>Rate of profit distribution</t>
  </si>
  <si>
    <t>Dividend withholding tax rate</t>
  </si>
  <si>
    <t>Scenario analysis</t>
  </si>
  <si>
    <t>Further investment/financing</t>
  </si>
  <si>
    <t>Revenue growth rate from FY22-23 to FY32-33</t>
  </si>
  <si>
    <t>PNG monopoly tax (annual, MUSD)</t>
  </si>
  <si>
    <t>Annual interest rate</t>
  </si>
  <si>
    <t>Scenario assumptions</t>
  </si>
  <si>
    <t>Assumptions</t>
  </si>
  <si>
    <t>FY2033</t>
  </si>
  <si>
    <t>Discount factor (WACC)</t>
  </si>
  <si>
    <t>Normal</t>
  </si>
  <si>
    <t>High</t>
  </si>
  <si>
    <t>Low</t>
  </si>
  <si>
    <t>NPV (MUSD, discount rate=12%)</t>
  </si>
  <si>
    <t>Normal with monopoly tax</t>
  </si>
  <si>
    <t>Results</t>
  </si>
  <si>
    <t>Interest (Digicel PNG Facility, MUSD)</t>
  </si>
  <si>
    <t>610M equity: 360M/250M. 360M ranks behind Telstra equity and pays a coupon a bit above Telstra's current cost of debt, and below weighted average cost of capital</t>
  </si>
  <si>
    <t>https://events.miraqle.com/DownloadFile.axd?file=/Report/ComNews/20211026/02440985.pdf</t>
  </si>
  <si>
    <t>average gross borrowing cost(FY20)</t>
  </si>
  <si>
    <t>average gross borrowing cost(FY21)</t>
  </si>
  <si>
    <t>5.5% to 6%</t>
  </si>
  <si>
    <t>https://www.telstra.com.au/content/dam/tcom/about-us/investors/debt/Telstra-Debt-Investor-Presentation-Sep21.pdf</t>
  </si>
  <si>
    <t>cost of debt (long-term)</t>
  </si>
  <si>
    <t>https://finbox.com/ASX:TLS/models/wacc</t>
  </si>
  <si>
    <t>Accumulative D&amp;A over capex</t>
  </si>
  <si>
    <t>600MUSD</t>
  </si>
  <si>
    <t>45M prefered return wthin the next 6 years. After payback of Telstra's initial equity investment, Telstra equity returns are post debt repaymnts</t>
  </si>
  <si>
    <t>Telstra cost of debt</t>
  </si>
  <si>
    <t>GoA loan interest rate</t>
  </si>
  <si>
    <t>Coupon rate</t>
  </si>
  <si>
    <t>Loan repayment</t>
  </si>
  <si>
    <t>Condition</t>
  </si>
  <si>
    <t>Key investment information</t>
  </si>
  <si>
    <t>GoA</t>
  </si>
  <si>
    <t>270MUSD by Telstra, 1.33 BUSD by GoA</t>
  </si>
  <si>
    <t>Assuming no outstanding debt other than "Digicel PNG Facility" and GoA loan, and repayment are made according to agreement</t>
  </si>
  <si>
    <t>2)GoA Loan</t>
  </si>
  <si>
    <t>Interest rate of GoA loan</t>
  </si>
  <si>
    <t>Interest (GoA loan, MUSD)</t>
  </si>
  <si>
    <t>Outstanding loan (GoA loan, MUSD)</t>
  </si>
  <si>
    <t>GoA coupon-paying equity (MUSD)</t>
  </si>
  <si>
    <t>For GoA</t>
  </si>
  <si>
    <t>NCF (GoA)</t>
  </si>
  <si>
    <t>GoA 10-year loan (MUSD)</t>
  </si>
  <si>
    <t>Telstra preferred return over first 6 years (MUSD)</t>
  </si>
  <si>
    <t>Assumed repayment (MUSD)</t>
  </si>
  <si>
    <t>GoA starts to receive coupon after six year and the coupon is non-cumulative</t>
  </si>
  <si>
    <t>Calculation for GoA loan repayment</t>
  </si>
  <si>
    <t>Coupon payment to GoA (MUSD)</t>
  </si>
  <si>
    <t>NCF after preferred return (MUSD)</t>
  </si>
  <si>
    <t>Distributed profit (MUSD)</t>
  </si>
  <si>
    <t>Dividend withholding tax (MUSD)</t>
  </si>
  <si>
    <t>Corporate income tax (MUSD)</t>
  </si>
  <si>
    <t>NCF (Digicel Pacfic, MUSD)</t>
  </si>
  <si>
    <t>Required preferred return to Telstra (MUSD)</t>
  </si>
  <si>
    <t>Extra NCF to Telstra (MUSD)</t>
  </si>
  <si>
    <t>Expected repayment (MUSD)</t>
  </si>
  <si>
    <t>Expected cumulative repayment (MUSD)</t>
  </si>
  <si>
    <t>Fund available for repayment (MUSD)</t>
  </si>
  <si>
    <t>Actual repayment (MUSD)</t>
  </si>
  <si>
    <t>Actual cumulative repayment (MUSD)</t>
  </si>
  <si>
    <t>Difference between repaymet and actual repayment (MUSD)</t>
  </si>
  <si>
    <t>Net borrowing (GoA, MUSD)</t>
  </si>
  <si>
    <t>Investment (MUSD)</t>
  </si>
  <si>
    <t>NCF (MUSD)</t>
  </si>
  <si>
    <t>PV in FY22 (MUSD)</t>
  </si>
  <si>
    <t>NPV (MUSD)</t>
  </si>
  <si>
    <t>NCF (Telstra, MUSD)</t>
  </si>
  <si>
    <t>Lending (MUSD)</t>
  </si>
  <si>
    <t>Coupon received</t>
  </si>
  <si>
    <t>GoA coupon-paying equity investment (MUSD)</t>
  </si>
  <si>
    <t>Dividend received</t>
  </si>
  <si>
    <t>For every new scenario:</t>
  </si>
  <si>
    <t>FY2034</t>
  </si>
  <si>
    <t>FY34 est</t>
  </si>
  <si>
    <t>FY35 est</t>
  </si>
  <si>
    <t>Revenue growth rate from FY22-23 to FY34-35</t>
  </si>
  <si>
    <t>FY2035</t>
  </si>
  <si>
    <t>Terminal value in FY35</t>
  </si>
  <si>
    <t>Ten years</t>
  </si>
  <si>
    <t>The Whole Deal</t>
  </si>
  <si>
    <t>GoA loan repayment</t>
  </si>
  <si>
    <t>Normal case</t>
  </si>
  <si>
    <t>High case</t>
  </si>
  <si>
    <t>Low case</t>
  </si>
  <si>
    <t>Beyond Ten years</t>
  </si>
  <si>
    <t>Normal case with monopoly tax</t>
  </si>
  <si>
    <t>Beyond ten years</t>
  </si>
  <si>
    <t>The debt repayment is constraint by fund available after Telstra preferred return (lower bound) and accumulative expected repayment (upper bound).</t>
  </si>
  <si>
    <t>Step 2. Calculate IRR for the whole deal, Telstra and GoA</t>
  </si>
  <si>
    <t>If the solver cannot find a solution, extend the payment year by one year; if fails again, then extend by another year.</t>
  </si>
  <si>
    <t>The IRR function cannot work here because we need IRR (=WACC) to calculate terminal values, otherwise IRR does not equal to discount rate for terminal value.</t>
  </si>
  <si>
    <t>See sheet "Summary" for the result of debt payment under different scenarios</t>
  </si>
  <si>
    <t>Step: 1. Find debt repayment to GoA so that the NCF (Digicel Pacific)&gt;=45M for the first 6 years and the NCF(Digicel Pacific)&gt;=0M afterwards</t>
  </si>
  <si>
    <t>GoA subordinated equity (MUSD)</t>
  </si>
  <si>
    <t>Seniority: Telstra preferred return &gt; GoA loan &gt; GoA coupon-paying equity &gt; GoA subordinated equity (=Telstra equity return after first six years)</t>
  </si>
  <si>
    <t>NCF to dividends (MUSD)</t>
  </si>
  <si>
    <t>NCF to GoA subordinated equity (MUSD)</t>
  </si>
  <si>
    <t>GoA subordinated equity investment (MUSD)</t>
  </si>
  <si>
    <t>https://www.treasury.gov.pg/html/national_budget/files/2022/Volume1.pdf</t>
  </si>
  <si>
    <t>Telstra share of deal</t>
  </si>
  <si>
    <t>Telstra NPV no-subsidy (USD m)</t>
  </si>
  <si>
    <t>Subsidy to Telstra (USD m)</t>
  </si>
  <si>
    <t>250MUSD subject to business performance over the next three years, funded on an 80/20 (government EFA funding/Telstra basis)</t>
  </si>
  <si>
    <t>720M debt: the interest rate is below Telstra's blended cost of debt, ten years with options to extend</t>
  </si>
  <si>
    <t>Addition investment for high case (MUSD)</t>
  </si>
  <si>
    <t>Share of equity (Telstra)</t>
  </si>
  <si>
    <t>Additional equity investment in the high case by Telstra (MUSD)</t>
  </si>
  <si>
    <t>Additional investment in the high case by GoA(MUSD)</t>
  </si>
  <si>
    <t>Solver: set objective: P69=0, by changing variables G70:P70, subject to constraints G76:P76=0</t>
  </si>
  <si>
    <t>Assuming the additional investment does not affect payout structure</t>
  </si>
  <si>
    <t>TOTAL TAX</t>
  </si>
  <si>
    <t>=29MUSD</t>
  </si>
  <si>
    <t>Solver: set objective: corresponding NPV=0 (e.g. F90) , by changing variable WACC (I17). Store the value to IRR (e.g. F91)</t>
  </si>
  <si>
    <t>Pay attention that the payment in periods after the assumed debt periods should be manually kept 0. (e.g. the cells highlighted in orange).</t>
  </si>
  <si>
    <t>Corporate and dividend tax (MUSD)</t>
  </si>
  <si>
    <t>Monopoly tax (MUSD)</t>
  </si>
  <si>
    <t>Tax paid to PNG 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</si>
</sst>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quot;$&quot;#,##0_);[Red]\(&quot;$&quot;#,##0\)"/>
    <numFmt numFmtId="165" formatCode="_(* #,##0.00_);_(* \(#,##0.00\);_(* &quot;-&quot;??_);_(@_)"/>
    <numFmt numFmtId="166" formatCode="0.0%"/>
    <numFmt numFmtId="167" formatCode="_(* #,##0_);_(* \(#,##0\);_(* &quot;-&quot;??_);_(@_)"/>
    <numFmt numFmtId="168" formatCode="0.0000%"/>
    <numFmt numFmtId="169" formatCode="_(* #,##0.0_);_(* \(#,##0.0\);_(* &quot;-&quot;??_);_(@_)"/>
    <numFmt numFmtId="170" formatCode="0.0"/>
  </numFmts>
  <fonts count="20" x14ac:knownFonts="1">
    <font>
      <sz val="12"/>
      <color theme="1"/>
      <name val="Calibri"/>
      <family val="2"/>
      <scheme val="minor"/>
    </font>
    <font>
      <u/>
      <sz val="12"/>
      <color theme="10"/>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sz val="16"/>
      <color theme="1"/>
      <name val="Calibri"/>
      <family val="2"/>
      <scheme val="minor"/>
    </font>
    <font>
      <sz val="9"/>
      <color indexed="81"/>
      <name val="Tahoma"/>
      <family val="2"/>
    </font>
    <font>
      <b/>
      <sz val="9"/>
      <color indexed="81"/>
      <name val="Tahoma"/>
      <family val="2"/>
    </font>
    <font>
      <sz val="12"/>
      <color rgb="FFFF0000"/>
      <name val="Calibri"/>
      <family val="2"/>
      <scheme val="minor"/>
    </font>
    <font>
      <b/>
      <sz val="12"/>
      <color theme="1"/>
      <name val="Calibri"/>
      <family val="2"/>
      <scheme val="minor"/>
    </font>
    <font>
      <sz val="12"/>
      <name val="Calibri"/>
      <family val="2"/>
      <scheme val="minor"/>
    </font>
    <font>
      <sz val="8"/>
      <name val="Calibri"/>
      <family val="2"/>
      <scheme val="minor"/>
    </font>
    <font>
      <sz val="10"/>
      <color theme="1"/>
      <name val="Calibri"/>
      <family val="2"/>
      <scheme val="minor"/>
    </font>
    <font>
      <b/>
      <sz val="9"/>
      <color rgb="FF000000"/>
      <name val="Tahoma"/>
      <family val="2"/>
    </font>
    <font>
      <sz val="9"/>
      <color rgb="FF000000"/>
      <name val="Tahoma"/>
      <family val="2"/>
    </font>
    <font>
      <b/>
      <sz val="10"/>
      <color theme="1"/>
      <name val="Calibri"/>
      <family val="2"/>
      <scheme val="minor"/>
    </font>
    <font>
      <i/>
      <u/>
      <sz val="10"/>
      <color theme="1"/>
      <name val="Calibri"/>
      <family val="2"/>
      <scheme val="minor"/>
    </font>
    <font>
      <b/>
      <sz val="12"/>
      <color rgb="FFFF0000"/>
      <name val="Calibri"/>
      <family val="2"/>
      <scheme val="minor"/>
    </font>
    <font>
      <b/>
      <i/>
      <sz val="10"/>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FFC000"/>
        <bgColor indexed="64"/>
      </patternFill>
    </fill>
  </fills>
  <borders count="15">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medium">
        <color indexed="64"/>
      </top>
      <bottom/>
      <diagonal/>
    </border>
    <border>
      <left style="dashDot">
        <color indexed="64"/>
      </left>
      <right/>
      <top/>
      <bottom/>
      <diagonal/>
    </border>
    <border>
      <left style="dashDot">
        <color indexed="64"/>
      </left>
      <right/>
      <top/>
      <bottom style="medium">
        <color indexed="64"/>
      </bottom>
      <diagonal/>
    </border>
    <border>
      <left/>
      <right style="dashDot">
        <color indexed="64"/>
      </right>
      <top/>
      <bottom/>
      <diagonal/>
    </border>
  </borders>
  <cellStyleXfs count="4">
    <xf numFmtId="0" fontId="0" fillId="0" borderId="0"/>
    <xf numFmtId="0" fontId="1" fillId="0" borderId="0" applyNumberFormat="0" applyFill="0" applyBorder="0" applyAlignment="0" applyProtection="0"/>
    <xf numFmtId="165" fontId="2" fillId="0" borderId="0" applyFont="0" applyFill="0" applyBorder="0" applyAlignment="0" applyProtection="0"/>
    <xf numFmtId="9" fontId="2" fillId="0" borderId="0" applyFont="0" applyFill="0" applyBorder="0" applyAlignment="0" applyProtection="0"/>
  </cellStyleXfs>
  <cellXfs count="244">
    <xf numFmtId="0" fontId="0" fillId="0" borderId="0" xfId="0"/>
    <xf numFmtId="0" fontId="1" fillId="0" borderId="0" xfId="1"/>
    <xf numFmtId="9" fontId="0" fillId="0" borderId="0" xfId="0" applyNumberFormat="1"/>
    <xf numFmtId="164" fontId="0" fillId="0" borderId="0" xfId="0" applyNumberFormat="1"/>
    <xf numFmtId="0" fontId="0" fillId="0" borderId="0" xfId="0" applyAlignment="1">
      <alignment horizontal="left"/>
    </xf>
    <xf numFmtId="0" fontId="0" fillId="2" borderId="0" xfId="0" applyFill="1"/>
    <xf numFmtId="0" fontId="0" fillId="0" borderId="0" xfId="0" applyAlignment="1">
      <alignment horizontal="left" vertical="center"/>
    </xf>
    <xf numFmtId="9" fontId="0" fillId="0" borderId="0" xfId="0" applyNumberFormat="1" applyAlignment="1">
      <alignment horizontal="left"/>
    </xf>
    <xf numFmtId="0" fontId="0" fillId="0" borderId="0" xfId="0" quotePrefix="1"/>
    <xf numFmtId="0" fontId="3" fillId="0" borderId="0" xfId="0" applyFont="1"/>
    <xf numFmtId="0" fontId="4" fillId="2" borderId="0" xfId="0" applyFont="1" applyFill="1"/>
    <xf numFmtId="9" fontId="0" fillId="0" borderId="0" xfId="3" applyFont="1"/>
    <xf numFmtId="0" fontId="0" fillId="2" borderId="0" xfId="0" applyFill="1" applyAlignment="1">
      <alignment horizontal="left"/>
    </xf>
    <xf numFmtId="0" fontId="0" fillId="0" borderId="0" xfId="0" applyAlignment="1">
      <alignment horizontal="left" wrapText="1"/>
    </xf>
    <xf numFmtId="9" fontId="0" fillId="0" borderId="0" xfId="0" applyNumberFormat="1" applyAlignment="1">
      <alignment horizontal="left" wrapText="1"/>
    </xf>
    <xf numFmtId="164" fontId="0" fillId="0" borderId="0" xfId="0" applyNumberFormat="1" applyAlignment="1">
      <alignment horizontal="left"/>
    </xf>
    <xf numFmtId="3" fontId="0" fillId="0" borderId="0" xfId="0" applyNumberFormat="1" applyAlignment="1">
      <alignment horizontal="left"/>
    </xf>
    <xf numFmtId="9" fontId="0" fillId="0" borderId="0" xfId="3" applyFont="1" applyAlignment="1">
      <alignment horizontal="left"/>
    </xf>
    <xf numFmtId="0" fontId="0" fillId="0" borderId="0" xfId="0" applyAlignment="1">
      <alignment horizontal="right"/>
    </xf>
    <xf numFmtId="9" fontId="0" fillId="0" borderId="0" xfId="3" applyFont="1" applyAlignment="1">
      <alignment horizontal="right"/>
    </xf>
    <xf numFmtId="0" fontId="0" fillId="2" borderId="0" xfId="0" applyFill="1" applyAlignment="1">
      <alignment horizontal="right"/>
    </xf>
    <xf numFmtId="167" fontId="0" fillId="0" borderId="0" xfId="2" applyNumberFormat="1" applyFont="1"/>
    <xf numFmtId="167" fontId="0" fillId="0" borderId="0" xfId="0" applyNumberFormat="1"/>
    <xf numFmtId="0" fontId="5" fillId="2" borderId="0" xfId="0" applyFont="1" applyFill="1"/>
    <xf numFmtId="0" fontId="4" fillId="0" borderId="1" xfId="0" applyFont="1" applyBorder="1"/>
    <xf numFmtId="0" fontId="4" fillId="0" borderId="1" xfId="0" applyFont="1" applyBorder="1" applyAlignment="1">
      <alignment horizontal="center"/>
    </xf>
    <xf numFmtId="0" fontId="0" fillId="4" borderId="0" xfId="0" applyFill="1"/>
    <xf numFmtId="0" fontId="0" fillId="3" borderId="0" xfId="0" applyFill="1" applyAlignment="1">
      <alignment horizontal="right"/>
    </xf>
    <xf numFmtId="165" fontId="0" fillId="4" borderId="0" xfId="2" applyFont="1" applyFill="1"/>
    <xf numFmtId="9" fontId="0" fillId="4" borderId="0" xfId="3" applyFont="1" applyFill="1"/>
    <xf numFmtId="0" fontId="0" fillId="0" borderId="1" xfId="0" applyBorder="1" applyAlignment="1">
      <alignment horizontal="left"/>
    </xf>
    <xf numFmtId="0" fontId="0" fillId="0" borderId="0" xfId="0" applyNumberFormat="1" applyAlignment="1">
      <alignment horizontal="left"/>
    </xf>
    <xf numFmtId="10" fontId="0" fillId="0" borderId="0" xfId="0" applyNumberFormat="1" applyAlignment="1">
      <alignment horizontal="left"/>
    </xf>
    <xf numFmtId="0" fontId="0" fillId="0" borderId="0" xfId="0" applyFill="1" applyAlignment="1">
      <alignment horizontal="right"/>
    </xf>
    <xf numFmtId="9" fontId="0" fillId="0" borderId="0" xfId="3" applyFont="1" applyFill="1"/>
    <xf numFmtId="0" fontId="0" fillId="0" borderId="0" xfId="0" applyFill="1"/>
    <xf numFmtId="0" fontId="0" fillId="0" borderId="0" xfId="0" applyFill="1" applyAlignment="1">
      <alignment horizontal="left"/>
    </xf>
    <xf numFmtId="0" fontId="0" fillId="0" borderId="1" xfId="0" applyFill="1" applyBorder="1"/>
    <xf numFmtId="165" fontId="0" fillId="0" borderId="0" xfId="2" applyFont="1" applyFill="1"/>
    <xf numFmtId="9" fontId="0" fillId="0" borderId="0" xfId="3" applyFont="1" applyFill="1" applyAlignment="1">
      <alignment horizontal="right"/>
    </xf>
    <xf numFmtId="0" fontId="0" fillId="0" borderId="0" xfId="3" applyNumberFormat="1" applyFont="1" applyFill="1" applyBorder="1"/>
    <xf numFmtId="0" fontId="10" fillId="0" borderId="0" xfId="0" applyFont="1"/>
    <xf numFmtId="0" fontId="10" fillId="0" borderId="0" xfId="0" applyFont="1" applyFill="1"/>
    <xf numFmtId="10" fontId="0" fillId="4" borderId="0" xfId="3" applyNumberFormat="1" applyFont="1" applyFill="1"/>
    <xf numFmtId="10" fontId="0" fillId="5" borderId="0" xfId="3" applyNumberFormat="1" applyFont="1" applyFill="1"/>
    <xf numFmtId="168" fontId="0" fillId="0" borderId="0" xfId="0" applyNumberFormat="1"/>
    <xf numFmtId="0" fontId="9" fillId="0" borderId="0" xfId="0" applyFont="1"/>
    <xf numFmtId="0" fontId="9" fillId="0" borderId="0" xfId="0" applyFont="1" applyFill="1"/>
    <xf numFmtId="0" fontId="4" fillId="0" borderId="0" xfId="0" applyFont="1" applyBorder="1"/>
    <xf numFmtId="0" fontId="4" fillId="0" borderId="0" xfId="0" applyFont="1" applyFill="1" applyBorder="1" applyAlignment="1">
      <alignment horizontal="center"/>
    </xf>
    <xf numFmtId="0" fontId="0" fillId="0" borderId="2" xfId="0" applyFill="1" applyBorder="1"/>
    <xf numFmtId="0" fontId="0" fillId="0" borderId="2" xfId="0" applyBorder="1"/>
    <xf numFmtId="0" fontId="0" fillId="0" borderId="1" xfId="0" applyFill="1" applyBorder="1" applyAlignment="1">
      <alignment horizontal="left"/>
    </xf>
    <xf numFmtId="0" fontId="0" fillId="0" borderId="1" xfId="3" applyNumberFormat="1" applyFont="1" applyFill="1" applyBorder="1"/>
    <xf numFmtId="0" fontId="0" fillId="0" borderId="0" xfId="0" applyFill="1" applyBorder="1" applyAlignment="1">
      <alignment horizontal="right"/>
    </xf>
    <xf numFmtId="0" fontId="0" fillId="0" borderId="0" xfId="0" applyFill="1" applyBorder="1" applyAlignment="1">
      <alignment horizontal="left"/>
    </xf>
    <xf numFmtId="166" fontId="0" fillId="0" borderId="0" xfId="3" applyNumberFormat="1" applyFont="1" applyFill="1" applyBorder="1"/>
    <xf numFmtId="9" fontId="0" fillId="0" borderId="0" xfId="3" applyFont="1" applyFill="1" applyBorder="1"/>
    <xf numFmtId="165" fontId="0" fillId="0" borderId="0" xfId="2" applyFont="1" applyFill="1" applyBorder="1"/>
    <xf numFmtId="165" fontId="0" fillId="0" borderId="0" xfId="2" applyNumberFormat="1" applyFont="1" applyFill="1" applyBorder="1"/>
    <xf numFmtId="0" fontId="8" fillId="0" borderId="0" xfId="0" applyFont="1"/>
    <xf numFmtId="0" fontId="0" fillId="0" borderId="0" xfId="0" applyBorder="1" applyAlignment="1">
      <alignment horizontal="left"/>
    </xf>
    <xf numFmtId="0" fontId="0" fillId="0" borderId="1" xfId="0" applyBorder="1" applyAlignment="1">
      <alignment horizontal="right"/>
    </xf>
    <xf numFmtId="9" fontId="0" fillId="0" borderId="1" xfId="3" applyFont="1" applyBorder="1"/>
    <xf numFmtId="0" fontId="5" fillId="0" borderId="0" xfId="0" applyFont="1" applyFill="1" applyBorder="1"/>
    <xf numFmtId="0" fontId="0" fillId="0" borderId="0" xfId="0" applyFill="1" applyBorder="1"/>
    <xf numFmtId="0" fontId="0" fillId="0" borderId="0" xfId="0" applyBorder="1" applyAlignment="1">
      <alignment horizontal="right"/>
    </xf>
    <xf numFmtId="165" fontId="0" fillId="0" borderId="0" xfId="0" applyNumberFormat="1"/>
    <xf numFmtId="169" fontId="0" fillId="0" borderId="0" xfId="2" applyNumberFormat="1" applyFont="1"/>
    <xf numFmtId="169" fontId="0" fillId="0" borderId="0" xfId="2" applyNumberFormat="1" applyFont="1" applyBorder="1"/>
    <xf numFmtId="169" fontId="0" fillId="0" borderId="1" xfId="2" applyNumberFormat="1" applyFont="1" applyBorder="1"/>
    <xf numFmtId="0" fontId="4" fillId="0" borderId="0" xfId="0" applyFont="1" applyFill="1" applyBorder="1"/>
    <xf numFmtId="0" fontId="0" fillId="0" borderId="0" xfId="0" applyFont="1" applyFill="1" applyBorder="1"/>
    <xf numFmtId="167" fontId="0" fillId="0" borderId="0" xfId="3" applyNumberFormat="1" applyFont="1" applyFill="1" applyBorder="1"/>
    <xf numFmtId="167" fontId="0" fillId="0" borderId="0" xfId="0" applyNumberFormat="1" applyFill="1" applyAlignment="1">
      <alignment horizontal="left"/>
    </xf>
    <xf numFmtId="167" fontId="0" fillId="0" borderId="0" xfId="0" applyNumberFormat="1" applyFill="1" applyBorder="1" applyAlignment="1">
      <alignment horizontal="left"/>
    </xf>
    <xf numFmtId="167" fontId="0" fillId="0" borderId="0" xfId="3" applyNumberFormat="1" applyFont="1" applyFill="1"/>
    <xf numFmtId="167" fontId="0" fillId="0" borderId="0" xfId="3" applyNumberFormat="1" applyFont="1" applyFill="1" applyAlignment="1">
      <alignment horizontal="right"/>
    </xf>
    <xf numFmtId="0" fontId="0" fillId="0" borderId="0" xfId="0" applyAlignment="1"/>
    <xf numFmtId="167" fontId="0" fillId="0" borderId="0" xfId="2" applyNumberFormat="1" applyFont="1" applyFill="1" applyAlignment="1">
      <alignment horizontal="right"/>
    </xf>
    <xf numFmtId="0" fontId="12" fillId="0" borderId="0" xfId="0" applyFont="1"/>
    <xf numFmtId="9" fontId="0" fillId="4" borderId="0" xfId="3" applyFont="1" applyFill="1" applyBorder="1"/>
    <xf numFmtId="0" fontId="4" fillId="0" borderId="0" xfId="0" applyFont="1"/>
    <xf numFmtId="0" fontId="4" fillId="2" borderId="0" xfId="0" applyFont="1" applyFill="1" applyAlignment="1">
      <alignment horizontal="left"/>
    </xf>
    <xf numFmtId="9" fontId="0" fillId="2" borderId="0" xfId="3" applyFont="1" applyFill="1" applyAlignment="1">
      <alignment horizontal="right"/>
    </xf>
    <xf numFmtId="9" fontId="10" fillId="0" borderId="0" xfId="3" applyFont="1" applyFill="1" applyAlignment="1">
      <alignment horizontal="right"/>
    </xf>
    <xf numFmtId="167" fontId="10" fillId="0" borderId="0" xfId="2" applyNumberFormat="1" applyFont="1" applyFill="1" applyAlignment="1">
      <alignment horizontal="right"/>
    </xf>
    <xf numFmtId="0" fontId="4" fillId="2" borderId="0" xfId="0" applyFont="1" applyFill="1" applyBorder="1" applyAlignment="1">
      <alignment horizontal="center"/>
    </xf>
    <xf numFmtId="167" fontId="0" fillId="0" borderId="0" xfId="2" applyNumberFormat="1" applyFont="1" applyFill="1"/>
    <xf numFmtId="0" fontId="9" fillId="2" borderId="0" xfId="0" applyFont="1" applyFill="1"/>
    <xf numFmtId="9" fontId="0" fillId="0" borderId="2" xfId="3" applyFont="1" applyBorder="1" applyAlignment="1">
      <alignment horizontal="right"/>
    </xf>
    <xf numFmtId="9" fontId="0" fillId="0" borderId="2" xfId="3" applyFont="1" applyFill="1" applyBorder="1" applyAlignment="1">
      <alignment horizontal="right"/>
    </xf>
    <xf numFmtId="167" fontId="0" fillId="0" borderId="2" xfId="3" applyNumberFormat="1" applyFont="1" applyFill="1" applyBorder="1" applyAlignment="1">
      <alignment horizontal="right"/>
    </xf>
    <xf numFmtId="0" fontId="0" fillId="0" borderId="2" xfId="0" applyBorder="1" applyAlignment="1">
      <alignment horizontal="right"/>
    </xf>
    <xf numFmtId="0" fontId="0" fillId="0" borderId="2" xfId="0" applyFill="1" applyBorder="1" applyAlignment="1">
      <alignment horizontal="right"/>
    </xf>
    <xf numFmtId="167" fontId="0" fillId="0" borderId="2" xfId="0" applyNumberFormat="1" applyFill="1" applyBorder="1" applyAlignment="1">
      <alignment horizontal="right"/>
    </xf>
    <xf numFmtId="169" fontId="1" fillId="0" borderId="0" xfId="1" applyNumberFormat="1"/>
    <xf numFmtId="167" fontId="0" fillId="4" borderId="0" xfId="2" applyNumberFormat="1" applyFont="1" applyFill="1" applyBorder="1"/>
    <xf numFmtId="167" fontId="0" fillId="0" borderId="0" xfId="2" applyNumberFormat="1" applyFont="1" applyFill="1" applyBorder="1"/>
    <xf numFmtId="9" fontId="0" fillId="0" borderId="2" xfId="3" applyFont="1" applyFill="1" applyBorder="1"/>
    <xf numFmtId="167" fontId="0" fillId="0" borderId="1" xfId="2" applyNumberFormat="1" applyFont="1" applyFill="1" applyBorder="1"/>
    <xf numFmtId="0" fontId="0" fillId="0" borderId="2" xfId="0" applyFill="1" applyBorder="1" applyAlignment="1">
      <alignment horizontal="left"/>
    </xf>
    <xf numFmtId="167" fontId="0" fillId="0" borderId="2" xfId="2" applyNumberFormat="1" applyFont="1" applyFill="1" applyBorder="1"/>
    <xf numFmtId="9" fontId="10" fillId="4" borderId="0" xfId="3" applyFont="1" applyFill="1"/>
    <xf numFmtId="167" fontId="0" fillId="0" borderId="1" xfId="2" applyNumberFormat="1" applyFont="1" applyFill="1" applyBorder="1" applyAlignment="1">
      <alignment horizontal="right"/>
    </xf>
    <xf numFmtId="165" fontId="0" fillId="0" borderId="0" xfId="2" applyNumberFormat="1" applyFont="1" applyFill="1"/>
    <xf numFmtId="165" fontId="0" fillId="0" borderId="1" xfId="2" applyNumberFormat="1" applyFont="1" applyFill="1" applyBorder="1"/>
    <xf numFmtId="167" fontId="0" fillId="0" borderId="2" xfId="2" applyNumberFormat="1" applyFont="1" applyFill="1" applyBorder="1" applyAlignment="1">
      <alignment horizontal="right"/>
    </xf>
    <xf numFmtId="0" fontId="9" fillId="0" borderId="0" xfId="0" applyFont="1" applyFill="1" applyAlignment="1"/>
    <xf numFmtId="0" fontId="0" fillId="0" borderId="0" xfId="0" applyBorder="1"/>
    <xf numFmtId="0" fontId="0" fillId="7" borderId="0" xfId="0" applyFill="1" applyBorder="1"/>
    <xf numFmtId="0" fontId="0" fillId="3" borderId="0" xfId="0" applyFill="1" applyBorder="1"/>
    <xf numFmtId="0" fontId="0" fillId="3" borderId="0" xfId="0" applyFill="1"/>
    <xf numFmtId="0" fontId="0" fillId="3" borderId="1" xfId="0" applyFill="1" applyBorder="1"/>
    <xf numFmtId="0" fontId="0" fillId="3" borderId="1" xfId="0" applyFill="1" applyBorder="1" applyAlignment="1">
      <alignment horizontal="right"/>
    </xf>
    <xf numFmtId="0" fontId="0" fillId="4" borderId="0" xfId="0" applyFill="1" applyBorder="1"/>
    <xf numFmtId="10" fontId="0" fillId="0" borderId="0" xfId="3" applyNumberFormat="1" applyFont="1" applyFill="1"/>
    <xf numFmtId="169" fontId="0" fillId="0" borderId="0" xfId="2" applyNumberFormat="1" applyFont="1" applyFill="1" applyAlignment="1">
      <alignment horizontal="right"/>
    </xf>
    <xf numFmtId="166" fontId="0" fillId="0" borderId="0" xfId="3" applyNumberFormat="1" applyFont="1" applyFill="1" applyAlignment="1">
      <alignment horizontal="right"/>
    </xf>
    <xf numFmtId="9" fontId="10" fillId="7" borderId="0" xfId="0" applyNumberFormat="1" applyFont="1" applyFill="1" applyBorder="1"/>
    <xf numFmtId="166" fontId="10" fillId="7" borderId="0" xfId="0" applyNumberFormat="1" applyFont="1" applyFill="1" applyBorder="1"/>
    <xf numFmtId="9" fontId="0" fillId="7" borderId="0" xfId="3" applyNumberFormat="1" applyFont="1" applyFill="1" applyBorder="1"/>
    <xf numFmtId="9" fontId="0" fillId="0" borderId="0" xfId="3" applyFont="1" applyFill="1" applyBorder="1" applyAlignment="1">
      <alignment horizontal="right"/>
    </xf>
    <xf numFmtId="9" fontId="10" fillId="0" borderId="0" xfId="3" applyFont="1" applyFill="1" applyBorder="1" applyAlignment="1">
      <alignment horizontal="right"/>
    </xf>
    <xf numFmtId="167" fontId="10" fillId="7" borderId="0" xfId="2" applyNumberFormat="1" applyFont="1" applyFill="1" applyBorder="1"/>
    <xf numFmtId="10" fontId="10" fillId="7" borderId="0" xfId="0" applyNumberFormat="1" applyFont="1" applyFill="1" applyBorder="1"/>
    <xf numFmtId="0" fontId="15" fillId="6" borderId="0" xfId="0" applyFont="1" applyFill="1"/>
    <xf numFmtId="0" fontId="12" fillId="6" borderId="0" xfId="0" applyFont="1" applyFill="1"/>
    <xf numFmtId="9" fontId="12" fillId="0" borderId="0" xfId="0" applyNumberFormat="1" applyFont="1"/>
    <xf numFmtId="0" fontId="12" fillId="0" borderId="0" xfId="0" applyNumberFormat="1" applyFont="1"/>
    <xf numFmtId="0" fontId="12" fillId="0" borderId="0" xfId="2" applyNumberFormat="1" applyFont="1"/>
    <xf numFmtId="0" fontId="15" fillId="6" borderId="0" xfId="0" applyFont="1" applyFill="1" applyAlignment="1">
      <alignment vertical="center"/>
    </xf>
    <xf numFmtId="20" fontId="15" fillId="6" borderId="0" xfId="0" applyNumberFormat="1" applyFont="1" applyFill="1" applyAlignment="1">
      <alignment vertical="center"/>
    </xf>
    <xf numFmtId="0" fontId="15" fillId="6" borderId="0" xfId="0" applyFont="1" applyFill="1" applyAlignment="1">
      <alignment wrapText="1"/>
    </xf>
    <xf numFmtId="166" fontId="12" fillId="0" borderId="0" xfId="0" applyNumberFormat="1" applyFont="1"/>
    <xf numFmtId="1" fontId="12" fillId="0" borderId="0" xfId="2" applyNumberFormat="1" applyFont="1"/>
    <xf numFmtId="10" fontId="12" fillId="0" borderId="0" xfId="3" applyNumberFormat="1" applyFont="1"/>
    <xf numFmtId="10" fontId="0" fillId="8" borderId="0" xfId="3" applyNumberFormat="1" applyFont="1" applyFill="1"/>
    <xf numFmtId="10" fontId="8" fillId="0" borderId="0" xfId="0" applyNumberFormat="1" applyFont="1"/>
    <xf numFmtId="0" fontId="0" fillId="2" borderId="0" xfId="0" applyFill="1" applyAlignment="1">
      <alignment horizontal="center"/>
    </xf>
    <xf numFmtId="0" fontId="16" fillId="0" borderId="0" xfId="0" applyFont="1" applyAlignment="1">
      <alignment horizontal="left"/>
    </xf>
    <xf numFmtId="169" fontId="0" fillId="0" borderId="1" xfId="2" applyNumberFormat="1" applyFont="1" applyFill="1" applyBorder="1"/>
    <xf numFmtId="165" fontId="0" fillId="0" borderId="0" xfId="2" applyNumberFormat="1" applyFont="1"/>
    <xf numFmtId="166" fontId="0" fillId="4" borderId="0" xfId="3" applyNumberFormat="1" applyFont="1" applyFill="1" applyBorder="1"/>
    <xf numFmtId="2" fontId="0" fillId="0" borderId="0" xfId="0" applyNumberFormat="1" applyFill="1" applyAlignment="1">
      <alignment horizontal="right"/>
    </xf>
    <xf numFmtId="9" fontId="0" fillId="4" borderId="0" xfId="0" applyNumberFormat="1" applyFill="1" applyBorder="1"/>
    <xf numFmtId="165" fontId="0" fillId="0" borderId="0" xfId="2" applyFont="1"/>
    <xf numFmtId="167" fontId="0" fillId="0" borderId="0" xfId="2" applyNumberFormat="1" applyFont="1" applyFill="1" applyBorder="1" applyAlignment="1">
      <alignment horizontal="right"/>
    </xf>
    <xf numFmtId="0" fontId="0" fillId="8" borderId="0" xfId="0" applyFill="1"/>
    <xf numFmtId="0" fontId="0" fillId="9" borderId="0" xfId="0" applyFill="1"/>
    <xf numFmtId="0" fontId="0" fillId="9" borderId="0" xfId="0" applyFill="1" applyAlignment="1">
      <alignment horizontal="right"/>
    </xf>
    <xf numFmtId="165" fontId="0" fillId="0" borderId="0" xfId="2" applyFont="1" applyFill="1" applyAlignment="1">
      <alignment horizontal="left"/>
    </xf>
    <xf numFmtId="167" fontId="0" fillId="0" borderId="0" xfId="0" applyNumberFormat="1" applyFill="1" applyBorder="1"/>
    <xf numFmtId="0" fontId="0" fillId="0" borderId="6" xfId="0" applyFill="1" applyBorder="1" applyAlignment="1">
      <alignment horizontal="left"/>
    </xf>
    <xf numFmtId="0" fontId="0" fillId="0" borderId="7" xfId="0" applyFill="1" applyBorder="1"/>
    <xf numFmtId="0" fontId="0" fillId="0" borderId="8" xfId="0" applyFill="1" applyBorder="1" applyAlignment="1">
      <alignment horizontal="left"/>
    </xf>
    <xf numFmtId="9" fontId="0" fillId="0" borderId="9" xfId="3" applyFont="1" applyFill="1" applyBorder="1" applyAlignment="1">
      <alignment horizontal="right"/>
    </xf>
    <xf numFmtId="9" fontId="0" fillId="0" borderId="9" xfId="3" applyFont="1" applyFill="1" applyBorder="1"/>
    <xf numFmtId="167" fontId="0" fillId="9" borderId="9" xfId="0" applyNumberFormat="1" applyFill="1" applyBorder="1" applyAlignment="1">
      <alignment horizontal="right"/>
    </xf>
    <xf numFmtId="0" fontId="9" fillId="0" borderId="3" xfId="0" applyFont="1" applyBorder="1"/>
    <xf numFmtId="0" fontId="17" fillId="0" borderId="3" xfId="0" applyFont="1" applyFill="1" applyBorder="1"/>
    <xf numFmtId="0" fontId="0" fillId="0" borderId="4" xfId="0" applyFill="1" applyBorder="1"/>
    <xf numFmtId="0" fontId="0" fillId="0" borderId="5" xfId="0" applyFill="1" applyBorder="1"/>
    <xf numFmtId="0" fontId="8" fillId="0" borderId="6" xfId="0" applyFont="1" applyFill="1" applyBorder="1"/>
    <xf numFmtId="0" fontId="0" fillId="0" borderId="6" xfId="0" applyFill="1" applyBorder="1"/>
    <xf numFmtId="0" fontId="17" fillId="0" borderId="6" xfId="0" applyFont="1" applyFill="1" applyBorder="1"/>
    <xf numFmtId="0" fontId="8" fillId="0" borderId="8" xfId="0" applyFont="1" applyFill="1" applyBorder="1"/>
    <xf numFmtId="0" fontId="0" fillId="0" borderId="9" xfId="0" applyFill="1" applyBorder="1"/>
    <xf numFmtId="0" fontId="0" fillId="0" borderId="10" xfId="0" applyFill="1" applyBorder="1"/>
    <xf numFmtId="167" fontId="0" fillId="8" borderId="0" xfId="3" applyNumberFormat="1" applyFont="1" applyFill="1" applyAlignment="1">
      <alignment horizontal="right"/>
    </xf>
    <xf numFmtId="0" fontId="0" fillId="8" borderId="0" xfId="0" applyFill="1" applyAlignment="1">
      <alignment horizontal="right"/>
    </xf>
    <xf numFmtId="165" fontId="0" fillId="8" borderId="0" xfId="0" applyNumberFormat="1" applyFill="1" applyAlignment="1">
      <alignment horizontal="right"/>
    </xf>
    <xf numFmtId="10" fontId="0" fillId="8" borderId="0" xfId="0" applyNumberFormat="1" applyFill="1" applyAlignment="1">
      <alignment horizontal="right"/>
    </xf>
    <xf numFmtId="1" fontId="0" fillId="0" borderId="2" xfId="0" applyNumberFormat="1" applyFill="1" applyBorder="1" applyAlignment="1">
      <alignment horizontal="right"/>
    </xf>
    <xf numFmtId="167" fontId="0" fillId="7" borderId="0" xfId="2" applyNumberFormat="1" applyFont="1" applyFill="1"/>
    <xf numFmtId="10" fontId="0" fillId="0" borderId="0" xfId="0" applyNumberFormat="1"/>
    <xf numFmtId="1" fontId="12" fillId="0" borderId="0" xfId="0" applyNumberFormat="1" applyFont="1"/>
    <xf numFmtId="165" fontId="0" fillId="0" borderId="0" xfId="2" applyFont="1" applyFill="1" applyBorder="1" applyAlignment="1">
      <alignment horizontal="right"/>
    </xf>
    <xf numFmtId="165" fontId="0" fillId="9" borderId="0" xfId="2" applyFont="1" applyFill="1" applyBorder="1" applyAlignment="1">
      <alignment horizontal="right"/>
    </xf>
    <xf numFmtId="165" fontId="0" fillId="4" borderId="0" xfId="2" applyFont="1" applyFill="1" applyBorder="1"/>
    <xf numFmtId="166" fontId="0" fillId="0" borderId="0" xfId="3" applyNumberFormat="1" applyFont="1"/>
    <xf numFmtId="0" fontId="9" fillId="0" borderId="0" xfId="0" applyFont="1" applyBorder="1"/>
    <xf numFmtId="0" fontId="9" fillId="0" borderId="0" xfId="0" applyFont="1" applyFill="1" applyBorder="1"/>
    <xf numFmtId="9" fontId="0" fillId="0" borderId="4" xfId="3" applyFont="1" applyFill="1" applyBorder="1" applyAlignment="1">
      <alignment horizontal="right"/>
    </xf>
    <xf numFmtId="167" fontId="0" fillId="0" borderId="4" xfId="2" applyNumberFormat="1" applyFont="1" applyFill="1" applyBorder="1" applyAlignment="1">
      <alignment horizontal="right"/>
    </xf>
    <xf numFmtId="9" fontId="10" fillId="0" borderId="4" xfId="3" applyFont="1" applyFill="1" applyBorder="1" applyAlignment="1">
      <alignment horizontal="right"/>
    </xf>
    <xf numFmtId="0" fontId="9" fillId="0" borderId="6" xfId="0" applyFont="1" applyBorder="1"/>
    <xf numFmtId="0" fontId="9" fillId="0" borderId="7" xfId="0" applyFont="1" applyFill="1" applyBorder="1"/>
    <xf numFmtId="165" fontId="0" fillId="0" borderId="7" xfId="2" applyFont="1" applyFill="1" applyBorder="1" applyAlignment="1">
      <alignment horizontal="right"/>
    </xf>
    <xf numFmtId="167" fontId="0" fillId="0" borderId="7" xfId="0" applyNumberFormat="1" applyFill="1" applyBorder="1"/>
    <xf numFmtId="167" fontId="0" fillId="0" borderId="7" xfId="3" applyNumberFormat="1" applyFont="1" applyFill="1" applyBorder="1"/>
    <xf numFmtId="0" fontId="9" fillId="0" borderId="12" xfId="0" applyFont="1" applyFill="1" applyBorder="1"/>
    <xf numFmtId="165" fontId="0" fillId="0" borderId="12" xfId="2" applyFont="1" applyFill="1" applyBorder="1" applyAlignment="1">
      <alignment horizontal="right"/>
    </xf>
    <xf numFmtId="0" fontId="0" fillId="0" borderId="12" xfId="0" applyFill="1" applyBorder="1"/>
    <xf numFmtId="167" fontId="0" fillId="0" borderId="12" xfId="0" applyNumberFormat="1" applyFill="1" applyBorder="1"/>
    <xf numFmtId="167" fontId="0" fillId="0" borderId="12" xfId="3" applyNumberFormat="1" applyFont="1" applyFill="1" applyBorder="1"/>
    <xf numFmtId="0" fontId="0" fillId="0" borderId="13" xfId="0" applyFill="1" applyBorder="1"/>
    <xf numFmtId="167" fontId="0" fillId="0" borderId="0" xfId="0" applyNumberFormat="1" applyBorder="1"/>
    <xf numFmtId="165" fontId="0" fillId="10" borderId="12" xfId="2" applyFont="1" applyFill="1" applyBorder="1" applyAlignment="1">
      <alignment horizontal="right"/>
    </xf>
    <xf numFmtId="165" fontId="0" fillId="10" borderId="0" xfId="2" applyFont="1" applyFill="1" applyBorder="1" applyAlignment="1">
      <alignment horizontal="right"/>
    </xf>
    <xf numFmtId="165" fontId="0" fillId="10" borderId="7" xfId="2" applyFont="1" applyFill="1" applyBorder="1" applyAlignment="1">
      <alignment horizontal="right"/>
    </xf>
    <xf numFmtId="0" fontId="18" fillId="0" borderId="0" xfId="0" applyFont="1" applyAlignment="1">
      <alignment horizontal="left"/>
    </xf>
    <xf numFmtId="165" fontId="0" fillId="0" borderId="12" xfId="2" applyFont="1" applyBorder="1"/>
    <xf numFmtId="165" fontId="0" fillId="0" borderId="0" xfId="2" applyFont="1" applyBorder="1"/>
    <xf numFmtId="165" fontId="0" fillId="0" borderId="14" xfId="2" applyFont="1" applyBorder="1"/>
    <xf numFmtId="0" fontId="9" fillId="4" borderId="0" xfId="0" applyFont="1" applyFill="1"/>
    <xf numFmtId="0" fontId="9" fillId="4" borderId="14" xfId="0" applyFont="1" applyFill="1" applyBorder="1"/>
    <xf numFmtId="0" fontId="9" fillId="11" borderId="0" xfId="0" applyFont="1" applyFill="1" applyBorder="1"/>
    <xf numFmtId="165" fontId="0" fillId="9" borderId="0" xfId="2" applyFont="1" applyFill="1"/>
    <xf numFmtId="165" fontId="0" fillId="9" borderId="0" xfId="2" applyFont="1" applyFill="1" applyBorder="1"/>
    <xf numFmtId="0" fontId="9" fillId="4" borderId="0" xfId="0" applyFont="1" applyFill="1" applyBorder="1"/>
    <xf numFmtId="0" fontId="9" fillId="11" borderId="12" xfId="0" applyFont="1" applyFill="1" applyBorder="1"/>
    <xf numFmtId="0" fontId="0" fillId="2" borderId="0" xfId="0" applyFill="1" applyBorder="1" applyAlignment="1">
      <alignment horizontal="center"/>
    </xf>
    <xf numFmtId="9" fontId="0" fillId="0" borderId="0" xfId="0" applyNumberFormat="1" applyBorder="1"/>
    <xf numFmtId="0" fontId="0" fillId="0" borderId="6" xfId="0" applyBorder="1"/>
    <xf numFmtId="9" fontId="0" fillId="0" borderId="7" xfId="0" applyNumberFormat="1" applyBorder="1"/>
    <xf numFmtId="0" fontId="19" fillId="0" borderId="0" xfId="0" applyFont="1"/>
    <xf numFmtId="9" fontId="12" fillId="0" borderId="0" xfId="3" applyFont="1"/>
    <xf numFmtId="170" fontId="12" fillId="0" borderId="0" xfId="0" applyNumberFormat="1" applyFont="1"/>
    <xf numFmtId="1" fontId="0" fillId="0" borderId="0" xfId="0" applyNumberFormat="1"/>
    <xf numFmtId="0" fontId="0" fillId="0" borderId="0" xfId="0" applyFill="1" applyAlignment="1">
      <alignment horizontal="center"/>
    </xf>
    <xf numFmtId="43" fontId="0" fillId="0" borderId="0" xfId="2" applyNumberFormat="1" applyFont="1" applyFill="1" applyBorder="1" applyAlignment="1">
      <alignment horizontal="right"/>
    </xf>
    <xf numFmtId="0" fontId="0" fillId="2" borderId="0" xfId="0" applyFill="1" applyAlignment="1">
      <alignment horizontal="center"/>
    </xf>
    <xf numFmtId="165" fontId="0" fillId="8" borderId="0" xfId="2" applyFont="1" applyFill="1" applyAlignment="1">
      <alignment horizontal="right"/>
    </xf>
    <xf numFmtId="0" fontId="8" fillId="0" borderId="0" xfId="0" applyFont="1" applyFill="1" applyBorder="1" applyAlignment="1">
      <alignment horizontal="left"/>
    </xf>
    <xf numFmtId="9" fontId="8" fillId="0" borderId="0" xfId="3" applyFont="1" applyFill="1"/>
    <xf numFmtId="9" fontId="8" fillId="0" borderId="0" xfId="3" applyFont="1" applyFill="1" applyBorder="1"/>
    <xf numFmtId="2" fontId="8" fillId="0" borderId="0" xfId="3" applyNumberFormat="1" applyFont="1" applyFill="1"/>
    <xf numFmtId="0" fontId="19" fillId="8" borderId="0" xfId="0" applyFont="1" applyFill="1"/>
    <xf numFmtId="0" fontId="0" fillId="0" borderId="0" xfId="0" applyAlignment="1">
      <alignment horizontal="center" vertical="center"/>
    </xf>
    <xf numFmtId="0" fontId="0" fillId="0" borderId="0" xfId="0" applyAlignment="1">
      <alignment horizontal="left" vertical="center"/>
    </xf>
    <xf numFmtId="169" fontId="0" fillId="0" borderId="0" xfId="2" applyNumberFormat="1" applyFont="1" applyAlignment="1">
      <alignment horizontal="center"/>
    </xf>
    <xf numFmtId="9" fontId="0" fillId="0" borderId="0" xfId="0" applyNumberFormat="1" applyAlignment="1">
      <alignment horizontal="left" vertical="top" wrapText="1"/>
    </xf>
    <xf numFmtId="0" fontId="0" fillId="2" borderId="0" xfId="0" applyFill="1" applyAlignment="1">
      <alignment horizontal="center"/>
    </xf>
    <xf numFmtId="167" fontId="3" fillId="0" borderId="4" xfId="2" applyNumberFormat="1" applyFont="1" applyFill="1" applyBorder="1" applyAlignment="1">
      <alignment horizontal="center"/>
    </xf>
    <xf numFmtId="167" fontId="0" fillId="0" borderId="11" xfId="2" applyNumberFormat="1" applyFont="1" applyFill="1" applyBorder="1" applyAlignment="1">
      <alignment horizontal="center"/>
    </xf>
    <xf numFmtId="167" fontId="0" fillId="0" borderId="4" xfId="2" applyNumberFormat="1" applyFont="1" applyFill="1" applyBorder="1" applyAlignment="1">
      <alignment horizontal="center"/>
    </xf>
    <xf numFmtId="167" fontId="0" fillId="0" borderId="5" xfId="2" applyNumberFormat="1" applyFont="1" applyFill="1" applyBorder="1" applyAlignment="1">
      <alignment horizontal="center"/>
    </xf>
    <xf numFmtId="0" fontId="8" fillId="0" borderId="0" xfId="0" applyFont="1" applyFill="1" applyBorder="1" applyAlignment="1">
      <alignment horizontal="left" vertical="top" wrapText="1"/>
    </xf>
    <xf numFmtId="0" fontId="0" fillId="4" borderId="0" xfId="0" applyFill="1" applyAlignment="1">
      <alignment horizontal="center"/>
    </xf>
    <xf numFmtId="0" fontId="0" fillId="11" borderId="12" xfId="0" applyFill="1" applyBorder="1" applyAlignment="1">
      <alignment horizontal="center"/>
    </xf>
    <xf numFmtId="0" fontId="0" fillId="11" borderId="0" xfId="0" applyFill="1" applyBorder="1" applyAlignment="1">
      <alignment horizontal="center"/>
    </xf>
    <xf numFmtId="0" fontId="16" fillId="0" borderId="0" xfId="0" applyFont="1" applyAlignment="1">
      <alignment horizontal="left"/>
    </xf>
    <xf numFmtId="0" fontId="0" fillId="4" borderId="14" xfId="0" applyFill="1" applyBorder="1" applyAlignment="1">
      <alignment horizont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3143802</xdr:colOff>
      <xdr:row>72</xdr:row>
      <xdr:rowOff>103371</xdr:rowOff>
    </xdr:from>
    <xdr:to>
      <xdr:col>9</xdr:col>
      <xdr:colOff>418963</xdr:colOff>
      <xdr:row>104</xdr:row>
      <xdr:rowOff>136716</xdr:rowOff>
    </xdr:to>
    <xdr:pic>
      <xdr:nvPicPr>
        <xdr:cNvPr id="2" name="Picture 1">
          <a:extLst>
            <a:ext uri="{FF2B5EF4-FFF2-40B4-BE49-F238E27FC236}">
              <a16:creationId xmlns:a16="http://schemas.microsoft.com/office/drawing/2014/main" id="{2916036C-F139-124F-9981-5D7FFEF08E71}"/>
            </a:ext>
          </a:extLst>
        </xdr:cNvPr>
        <xdr:cNvPicPr>
          <a:picLocks noChangeAspect="1"/>
        </xdr:cNvPicPr>
      </xdr:nvPicPr>
      <xdr:blipFill>
        <a:blip xmlns:r="http://schemas.openxmlformats.org/officeDocument/2006/relationships" r:embed="rId1"/>
        <a:stretch>
          <a:fillRect/>
        </a:stretch>
      </xdr:blipFill>
      <xdr:spPr>
        <a:xfrm>
          <a:off x="7042407" y="16318022"/>
          <a:ext cx="6888765" cy="6645349"/>
        </a:xfrm>
        <a:prstGeom prst="rect">
          <a:avLst/>
        </a:prstGeom>
      </xdr:spPr>
    </xdr:pic>
    <xdr:clientData/>
  </xdr:twoCellAnchor>
  <xdr:twoCellAnchor editAs="oneCell">
    <xdr:from>
      <xdr:col>1</xdr:col>
      <xdr:colOff>12700</xdr:colOff>
      <xdr:row>106</xdr:row>
      <xdr:rowOff>152400</xdr:rowOff>
    </xdr:from>
    <xdr:to>
      <xdr:col>8</xdr:col>
      <xdr:colOff>265373</xdr:colOff>
      <xdr:row>143</xdr:row>
      <xdr:rowOff>174003</xdr:rowOff>
    </xdr:to>
    <xdr:pic>
      <xdr:nvPicPr>
        <xdr:cNvPr id="3" name="Picture 2">
          <a:extLst>
            <a:ext uri="{FF2B5EF4-FFF2-40B4-BE49-F238E27FC236}">
              <a16:creationId xmlns:a16="http://schemas.microsoft.com/office/drawing/2014/main" id="{FF1F6294-E70D-FD4F-AF19-D36E4D9F1173}"/>
            </a:ext>
          </a:extLst>
        </xdr:cNvPr>
        <xdr:cNvPicPr>
          <a:picLocks noChangeAspect="1"/>
        </xdr:cNvPicPr>
      </xdr:nvPicPr>
      <xdr:blipFill>
        <a:blip xmlns:r="http://schemas.openxmlformats.org/officeDocument/2006/relationships" r:embed="rId2"/>
        <a:stretch>
          <a:fillRect/>
        </a:stretch>
      </xdr:blipFill>
      <xdr:spPr>
        <a:xfrm>
          <a:off x="1297467" y="23396353"/>
          <a:ext cx="11638371" cy="7674948"/>
        </a:xfrm>
        <a:prstGeom prst="rect">
          <a:avLst/>
        </a:prstGeom>
      </xdr:spPr>
    </xdr:pic>
    <xdr:clientData/>
  </xdr:twoCellAnchor>
  <xdr:twoCellAnchor editAs="oneCell">
    <xdr:from>
      <xdr:col>0</xdr:col>
      <xdr:colOff>1137093</xdr:colOff>
      <xdr:row>148</xdr:row>
      <xdr:rowOff>29535</xdr:rowOff>
    </xdr:from>
    <xdr:to>
      <xdr:col>12</xdr:col>
      <xdr:colOff>317386</xdr:colOff>
      <xdr:row>164</xdr:row>
      <xdr:rowOff>171966</xdr:rowOff>
    </xdr:to>
    <xdr:pic>
      <xdr:nvPicPr>
        <xdr:cNvPr id="4" name="Picture 3">
          <a:extLst>
            <a:ext uri="{FF2B5EF4-FFF2-40B4-BE49-F238E27FC236}">
              <a16:creationId xmlns:a16="http://schemas.microsoft.com/office/drawing/2014/main" id="{DDE66699-EB99-0147-97AE-75C94C148619}"/>
            </a:ext>
          </a:extLst>
        </xdr:cNvPr>
        <xdr:cNvPicPr>
          <a:picLocks noChangeAspect="1"/>
        </xdr:cNvPicPr>
      </xdr:nvPicPr>
      <xdr:blipFill>
        <a:blip xmlns:r="http://schemas.openxmlformats.org/officeDocument/2006/relationships" r:embed="rId3"/>
        <a:stretch>
          <a:fillRect/>
        </a:stretch>
      </xdr:blipFill>
      <xdr:spPr>
        <a:xfrm>
          <a:off x="1137093" y="31956744"/>
          <a:ext cx="15212020" cy="344081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haron Liu" id="{1AD3B9AE-DA0B-6546-B6A5-AA0E5B7F44F5}" userId="S::u7100009@anu.edu.au::28968422-698d-499b-932d-31cf428ff5b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6" dT="2022-01-10T22:23:08.67" personId="{1AD3B9AE-DA0B-6546-B6A5-AA0E5B7F44F5}" id="{518C0C5A-C9AE-9141-8D5B-B527165A9B6D}">
    <text>When the deal is likely be finished</text>
  </threadedComment>
  <threadedComment ref="P69" dT="2022-02-03T06:02:37.80" personId="{1AD3B9AE-DA0B-6546-B6A5-AA0E5B7F44F5}" id="{430AC1FC-51C7-814D-8192-1B7C4F5141F1}">
    <text>condition:=0</text>
  </threadedComment>
  <threadedComment ref="G76" dT="2022-02-03T06:02:37.80" personId="{1AD3B9AE-DA0B-6546-B6A5-AA0E5B7F44F5}" id="{8480D294-BC60-2347-AAA7-44C9143CBB42}">
    <text>condition:=0</text>
  </threadedComment>
  <threadedComment ref="H76" dT="2022-02-03T06:02:37.80" personId="{1AD3B9AE-DA0B-6546-B6A5-AA0E5B7F44F5}" id="{59122A1F-956B-A041-91F5-384355D6CEA8}">
    <text>condition:=0</text>
  </threadedComment>
  <threadedComment ref="I76" dT="2022-02-03T06:02:37.80" personId="{1AD3B9AE-DA0B-6546-B6A5-AA0E5B7F44F5}" id="{7F2BBC4C-A408-3445-92B5-F3FCC02FA85F}">
    <text>condition:=0</text>
  </threadedComment>
  <threadedComment ref="J76" dT="2022-02-03T06:02:37.80" personId="{1AD3B9AE-DA0B-6546-B6A5-AA0E5B7F44F5}" id="{65504F98-E514-E840-BBA3-097CB608460F}">
    <text>condition:=0</text>
  </threadedComment>
  <threadedComment ref="K76" dT="2022-02-03T06:02:37.80" personId="{1AD3B9AE-DA0B-6546-B6A5-AA0E5B7F44F5}" id="{59AFE398-B1E3-C248-9BFC-079D52119CCD}">
    <text>condition:=0</text>
  </threadedComment>
  <threadedComment ref="L76" dT="2022-02-03T06:02:37.80" personId="{1AD3B9AE-DA0B-6546-B6A5-AA0E5B7F44F5}" id="{AF8DF640-7414-C840-9A12-B156A90FBA3C}">
    <text>condition:=0</text>
  </threadedComment>
  <threadedComment ref="M76" dT="2022-02-03T06:02:37.80" personId="{1AD3B9AE-DA0B-6546-B6A5-AA0E5B7F44F5}" id="{7AAD0AB5-001B-F140-AF21-A011D7B9FFD3}">
    <text>condition:=0</text>
  </threadedComment>
  <threadedComment ref="N76" dT="2022-02-03T06:02:37.80" personId="{1AD3B9AE-DA0B-6546-B6A5-AA0E5B7F44F5}" id="{E7382217-4315-4847-B1A5-052B74CAC75A}">
    <text>condition:=0</text>
  </threadedComment>
  <threadedComment ref="O76" dT="2022-02-03T06:02:37.80" personId="{1AD3B9AE-DA0B-6546-B6A5-AA0E5B7F44F5}" id="{D9984370-6A7F-C443-A543-E253E9B8A0D6}">
    <text>condition:=0</text>
  </threadedComment>
  <threadedComment ref="P76" dT="2022-02-03T06:02:37.80" personId="{1AD3B9AE-DA0B-6546-B6A5-AA0E5B7F44F5}" id="{4BC78DEC-F6BB-F94A-AAAD-3DC504E1F70A}">
    <text>condition:=0</text>
  </threadedComment>
  <threadedComment ref="L78" dT="2022-01-10T22:23:08.67" personId="{1AD3B9AE-DA0B-6546-B6A5-AA0E5B7F44F5}" id="{6456C514-19D0-7F45-ABF4-BE36E5457791}">
    <text>When the deal is likely be finished</text>
  </threadedComment>
  <threadedComment ref="A84" dT="2021-12-13T07:06:48.67" personId="{1AD3B9AE-DA0B-6546-B6A5-AA0E5B7F44F5}" id="{AD17FC88-E89A-1540-BA75-EDE1ECF8A8AA}">
    <text>=(EBITDA-Interest-Taxes-D&amp;A)+D&amp;A-change in working capital-capex+net borrowing
https://corporatefinanceinstitute.com/resources/knowledge/accounting/how-to-calculate-fcfe-from-ebitda/</text>
  </threadedComment>
  <threadedComment ref="L93" dT="2022-01-10T22:23:08.67" personId="{1AD3B9AE-DA0B-6546-B6A5-AA0E5B7F44F5}" id="{EA52D589-3CAC-AB47-AD4D-7D2C3631A6BF}">
    <text>When the deal is likely be finished</text>
  </threadedComment>
  <threadedComment ref="L107" dT="2022-01-10T22:23:08.67" personId="{1AD3B9AE-DA0B-6546-B6A5-AA0E5B7F44F5}" id="{E5EF85CD-36B8-F943-A7FD-35573C7A7905}">
    <text>When the deal is likely be finished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sec.gov/Archives/edgar/data/0001810777/000095010320009547/dp127775_ex-t3e.htm,%20p.136" TargetMode="External"/><Relationship Id="rId13" Type="http://schemas.openxmlformats.org/officeDocument/2006/relationships/hyperlink" Target="https://www.telstra.com.au/content/dam/tcom/about-us/investors/debt/Telstra-Debt-Investor-Presentation-Sep21.pdf" TargetMode="External"/><Relationship Id="rId18" Type="http://schemas.openxmlformats.org/officeDocument/2006/relationships/hyperlink" Target="https://events.miraqle.com/DownloadFile.axd?file=/Report/ComNews/20211026/02440985.pdf" TargetMode="External"/><Relationship Id="rId3" Type="http://schemas.openxmlformats.org/officeDocument/2006/relationships/hyperlink" Target="https://tradingeconomics.com/country-list/corporate-tax-rate?continent=australia" TargetMode="External"/><Relationship Id="rId7" Type="http://schemas.openxmlformats.org/officeDocument/2006/relationships/hyperlink" Target="https://www.sec.gov/Archives/edgar/data/0001810777/000095010320009547/dp127775_ex-t3e.htm,%20p16/p.183/p.399" TargetMode="External"/><Relationship Id="rId12" Type="http://schemas.openxmlformats.org/officeDocument/2006/relationships/hyperlink" Target="https://events.miraqle.com/DownloadFile.axd?file=/Report/ComNews/20211026/02440985.pdf" TargetMode="External"/><Relationship Id="rId17" Type="http://schemas.openxmlformats.org/officeDocument/2006/relationships/hyperlink" Target="https://events.miraqle.com/DownloadFile.axd?file=/Report/ComNews/20211026/02440985.pdf" TargetMode="External"/><Relationship Id="rId2" Type="http://schemas.openxmlformats.org/officeDocument/2006/relationships/hyperlink" Target="https://tradingeconomics.com/country-list/corporate-tax-rate?continent=australia" TargetMode="External"/><Relationship Id="rId16" Type="http://schemas.openxmlformats.org/officeDocument/2006/relationships/hyperlink" Target="https://www.telstra.com.au/content/dam/tcom/about-us/investors/debt/Telstra-Debt-Investor-Presentation-Sep21.pdf" TargetMode="External"/><Relationship Id="rId1" Type="http://schemas.openxmlformats.org/officeDocument/2006/relationships/hyperlink" Target="https://tradingeconomics.com/country-list/corporate-tax-rate?continent=australia" TargetMode="External"/><Relationship Id="rId6" Type="http://schemas.openxmlformats.org/officeDocument/2006/relationships/hyperlink" Target="https://www.sec.gov/Archives/edgar/data/0001810777/000095010320009547/dp127775_ex-t3e.htm,%20p.136" TargetMode="External"/><Relationship Id="rId11" Type="http://schemas.openxmlformats.org/officeDocument/2006/relationships/hyperlink" Target="https://www.sec.gov/Archives/edgar/data/0001810777/000095010320009547/dp127775_ex-t3e.htm,%20p.130" TargetMode="External"/><Relationship Id="rId5" Type="http://schemas.openxmlformats.org/officeDocument/2006/relationships/hyperlink" Target="https://tradingeconomics.com/country-list/corporate-tax-rate?continent=australia" TargetMode="External"/><Relationship Id="rId15" Type="http://schemas.openxmlformats.org/officeDocument/2006/relationships/hyperlink" Target="https://finbox.com/ASX:TLS/models/wacc" TargetMode="External"/><Relationship Id="rId10" Type="http://schemas.openxmlformats.org/officeDocument/2006/relationships/hyperlink" Target="https://www.sec.gov/Archives/edgar/data/0001810777/000095010320009547/dp127775_ex-t3e.htm,%20p.%20145" TargetMode="External"/><Relationship Id="rId19" Type="http://schemas.openxmlformats.org/officeDocument/2006/relationships/drawing" Target="../drawings/drawing1.xml"/><Relationship Id="rId4" Type="http://schemas.openxmlformats.org/officeDocument/2006/relationships/hyperlink" Target="https://tradingeconomics.com/country-list/corporate-tax-rate?continent=australia" TargetMode="External"/><Relationship Id="rId9" Type="http://schemas.openxmlformats.org/officeDocument/2006/relationships/hyperlink" Target="https://www.sec.gov/Archives/edgar/data/0001810777/000095010320009547/dp127775_ex-t3e.htm,%20p.16" TargetMode="External"/><Relationship Id="rId14" Type="http://schemas.openxmlformats.org/officeDocument/2006/relationships/hyperlink" Target="https://www.telstra.com.au/content/dam/tcom/about-us/investors/debt/Telstra-Debt-Investor-Presentation-Sep21.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sec.gov/Archives/edgar/data/1810777/000095010320009547/dp127775_ex-t3e.htm,%20pp.656-65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telstra.com.au/content/dam/tcom/about-us/investors/debt/Telstra-Debt-Investor-Presentation-Sep21.pdf" TargetMode="External"/><Relationship Id="rId1" Type="http://schemas.openxmlformats.org/officeDocument/2006/relationships/hyperlink" Target="https://www.sec.gov/Archives/edgar/data/0001810777/000095010320009547/dp127775_ex-t3e.htm,%20p16/p.183/p.399"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opLeftCell="A10" zoomScale="86" workbookViewId="0">
      <selection activeCell="C64" sqref="C64"/>
    </sheetView>
  </sheetViews>
  <sheetFormatPr defaultColWidth="11" defaultRowHeight="15.75" x14ac:dyDescent="0.25"/>
  <cols>
    <col min="1" max="1" width="16.875" customWidth="1"/>
    <col min="2" max="2" width="34.375" customWidth="1"/>
    <col min="3" max="3" width="53.375" style="4" customWidth="1"/>
    <col min="4" max="4" width="17.625" customWidth="1"/>
  </cols>
  <sheetData>
    <row r="1" spans="1:12" x14ac:dyDescent="0.25">
      <c r="D1" t="s">
        <v>49</v>
      </c>
      <c r="E1" t="s">
        <v>8</v>
      </c>
    </row>
    <row r="2" spans="1:12" x14ac:dyDescent="0.25">
      <c r="A2" s="10" t="s">
        <v>19</v>
      </c>
      <c r="B2" s="5"/>
      <c r="C2" s="12"/>
      <c r="D2" s="5"/>
      <c r="E2" s="5"/>
      <c r="F2" s="5"/>
      <c r="G2" s="5"/>
      <c r="H2" s="5"/>
      <c r="I2" s="5"/>
      <c r="J2" s="5"/>
      <c r="K2" s="5"/>
      <c r="L2" s="5"/>
    </row>
    <row r="3" spans="1:12" x14ac:dyDescent="0.25">
      <c r="B3" t="s">
        <v>1</v>
      </c>
      <c r="C3" s="4" t="s">
        <v>2</v>
      </c>
      <c r="E3" t="s">
        <v>7</v>
      </c>
    </row>
    <row r="4" spans="1:12" ht="47.25" x14ac:dyDescent="0.25">
      <c r="B4" t="s">
        <v>5</v>
      </c>
      <c r="C4" s="13" t="s">
        <v>343</v>
      </c>
      <c r="E4" t="s">
        <v>7</v>
      </c>
    </row>
    <row r="5" spans="1:12" x14ac:dyDescent="0.25">
      <c r="B5" t="s">
        <v>3</v>
      </c>
      <c r="C5" s="4" t="s">
        <v>274</v>
      </c>
      <c r="E5" t="s">
        <v>7</v>
      </c>
    </row>
    <row r="6" spans="1:12" x14ac:dyDescent="0.25">
      <c r="B6" t="s">
        <v>9</v>
      </c>
      <c r="C6" s="4" t="s">
        <v>10</v>
      </c>
      <c r="E6" t="s">
        <v>7</v>
      </c>
    </row>
    <row r="7" spans="1:12" x14ac:dyDescent="0.25">
      <c r="B7" t="s">
        <v>9</v>
      </c>
      <c r="C7" s="4" t="s">
        <v>266</v>
      </c>
      <c r="E7" s="1" t="s">
        <v>257</v>
      </c>
    </row>
    <row r="8" spans="1:12" ht="31.5" x14ac:dyDescent="0.25">
      <c r="B8" t="s">
        <v>273</v>
      </c>
      <c r="C8" s="14" t="s">
        <v>25</v>
      </c>
      <c r="D8" s="2"/>
      <c r="E8" t="s">
        <v>26</v>
      </c>
    </row>
    <row r="9" spans="1:12" ht="31.5" x14ac:dyDescent="0.25">
      <c r="B9" t="s">
        <v>273</v>
      </c>
      <c r="C9" s="14" t="s">
        <v>344</v>
      </c>
      <c r="D9" s="2"/>
      <c r="E9" s="1" t="s">
        <v>257</v>
      </c>
    </row>
    <row r="10" spans="1:12" ht="47.25" x14ac:dyDescent="0.25">
      <c r="B10" t="s">
        <v>273</v>
      </c>
      <c r="C10" s="14" t="s">
        <v>256</v>
      </c>
      <c r="D10" s="2"/>
      <c r="E10" s="1" t="s">
        <v>257</v>
      </c>
    </row>
    <row r="11" spans="1:12" x14ac:dyDescent="0.25">
      <c r="B11" t="s">
        <v>30</v>
      </c>
      <c r="C11" s="15" t="s">
        <v>31</v>
      </c>
      <c r="D11" s="3"/>
      <c r="E11" t="s">
        <v>7</v>
      </c>
    </row>
    <row r="12" spans="1:12" x14ac:dyDescent="0.25">
      <c r="B12" t="s">
        <v>32</v>
      </c>
      <c r="C12" s="4" t="s">
        <v>33</v>
      </c>
      <c r="E12" t="s">
        <v>26</v>
      </c>
    </row>
    <row r="13" spans="1:12" x14ac:dyDescent="0.25">
      <c r="A13" s="9"/>
      <c r="E13" s="1"/>
    </row>
    <row r="15" spans="1:12" x14ac:dyDescent="0.25">
      <c r="A15" s="10" t="s">
        <v>13</v>
      </c>
      <c r="B15" s="5"/>
      <c r="C15" s="12"/>
      <c r="D15" s="5"/>
      <c r="E15" s="5"/>
      <c r="F15" s="5"/>
      <c r="G15" s="5"/>
      <c r="H15" s="5"/>
      <c r="I15" s="5"/>
      <c r="J15" s="5"/>
      <c r="K15" s="5"/>
      <c r="L15" s="5"/>
    </row>
    <row r="16" spans="1:12" x14ac:dyDescent="0.25">
      <c r="A16" s="229" t="s">
        <v>14</v>
      </c>
      <c r="B16" t="s">
        <v>11</v>
      </c>
      <c r="C16" s="4">
        <v>2006</v>
      </c>
      <c r="D16" s="4"/>
      <c r="E16" t="s">
        <v>7</v>
      </c>
    </row>
    <row r="17" spans="1:5" x14ac:dyDescent="0.25">
      <c r="A17" s="229"/>
      <c r="B17" t="s">
        <v>20</v>
      </c>
      <c r="C17" s="4" t="s">
        <v>21</v>
      </c>
      <c r="D17" s="4"/>
      <c r="E17" t="s">
        <v>7</v>
      </c>
    </row>
    <row r="18" spans="1:5" x14ac:dyDescent="0.25">
      <c r="A18" s="229"/>
      <c r="B18" t="s">
        <v>22</v>
      </c>
      <c r="C18" s="4">
        <v>1700</v>
      </c>
      <c r="D18" s="4"/>
      <c r="E18" t="s">
        <v>7</v>
      </c>
    </row>
    <row r="19" spans="1:5" x14ac:dyDescent="0.25">
      <c r="A19" s="229"/>
      <c r="B19" s="230" t="s">
        <v>23</v>
      </c>
      <c r="C19" s="4" t="s">
        <v>15</v>
      </c>
      <c r="E19" t="s">
        <v>7</v>
      </c>
    </row>
    <row r="20" spans="1:5" x14ac:dyDescent="0.25">
      <c r="A20" s="229"/>
      <c r="B20" s="230"/>
      <c r="C20" s="4" t="s">
        <v>16</v>
      </c>
      <c r="E20" t="s">
        <v>7</v>
      </c>
    </row>
    <row r="21" spans="1:5" ht="31.5" x14ac:dyDescent="0.25">
      <c r="A21" s="229"/>
      <c r="B21" s="230" t="s">
        <v>17</v>
      </c>
      <c r="C21" s="13" t="s">
        <v>18</v>
      </c>
      <c r="E21" t="s">
        <v>7</v>
      </c>
    </row>
    <row r="22" spans="1:5" x14ac:dyDescent="0.25">
      <c r="A22" s="229"/>
      <c r="B22" s="230"/>
      <c r="C22" s="4" t="s">
        <v>24</v>
      </c>
      <c r="E22" t="s">
        <v>7</v>
      </c>
    </row>
    <row r="23" spans="1:5" x14ac:dyDescent="0.25">
      <c r="A23" s="229" t="s">
        <v>59</v>
      </c>
      <c r="B23" s="6" t="s">
        <v>60</v>
      </c>
      <c r="C23" s="16">
        <v>9000000</v>
      </c>
      <c r="E23" t="s">
        <v>58</v>
      </c>
    </row>
    <row r="24" spans="1:5" x14ac:dyDescent="0.25">
      <c r="A24" s="229"/>
      <c r="B24" s="6" t="s">
        <v>61</v>
      </c>
      <c r="C24" s="16">
        <v>900000</v>
      </c>
      <c r="E24" t="s">
        <v>58</v>
      </c>
    </row>
    <row r="25" spans="1:5" x14ac:dyDescent="0.25">
      <c r="A25" s="229"/>
      <c r="B25" s="6" t="s">
        <v>62</v>
      </c>
      <c r="C25" s="16">
        <v>300000</v>
      </c>
      <c r="E25" t="s">
        <v>58</v>
      </c>
    </row>
    <row r="26" spans="1:5" x14ac:dyDescent="0.25">
      <c r="A26" s="229"/>
      <c r="B26" s="6" t="s">
        <v>64</v>
      </c>
      <c r="C26" s="16">
        <v>200000</v>
      </c>
      <c r="E26" t="s">
        <v>58</v>
      </c>
    </row>
    <row r="27" spans="1:5" x14ac:dyDescent="0.25">
      <c r="A27" s="229"/>
      <c r="B27" s="6" t="s">
        <v>63</v>
      </c>
      <c r="C27" s="16">
        <v>100000</v>
      </c>
      <c r="E27" t="s">
        <v>58</v>
      </c>
    </row>
    <row r="28" spans="1:5" x14ac:dyDescent="0.25">
      <c r="A28" s="229"/>
      <c r="B28" s="6" t="s">
        <v>65</v>
      </c>
      <c r="C28" s="16">
        <v>12000</v>
      </c>
      <c r="E28" t="s">
        <v>58</v>
      </c>
    </row>
    <row r="29" spans="1:5" x14ac:dyDescent="0.25">
      <c r="A29" s="229"/>
      <c r="B29" s="6" t="s">
        <v>66</v>
      </c>
      <c r="C29" s="7">
        <v>0.9</v>
      </c>
      <c r="E29" t="s">
        <v>58</v>
      </c>
    </row>
    <row r="30" spans="1:5" x14ac:dyDescent="0.25">
      <c r="A30" s="229"/>
      <c r="B30" s="6" t="s">
        <v>67</v>
      </c>
      <c r="C30" s="7">
        <v>0.4</v>
      </c>
      <c r="E30" t="s">
        <v>58</v>
      </c>
    </row>
    <row r="31" spans="1:5" x14ac:dyDescent="0.25">
      <c r="A31" s="229"/>
      <c r="B31" s="6" t="s">
        <v>68</v>
      </c>
      <c r="C31" s="17">
        <v>0.63</v>
      </c>
      <c r="E31" t="s">
        <v>58</v>
      </c>
    </row>
    <row r="32" spans="1:5" x14ac:dyDescent="0.25">
      <c r="A32" s="229"/>
      <c r="B32" s="6" t="s">
        <v>69</v>
      </c>
      <c r="C32" s="7">
        <v>0.65</v>
      </c>
      <c r="E32" t="s">
        <v>58</v>
      </c>
    </row>
    <row r="33" spans="1:5" x14ac:dyDescent="0.25">
      <c r="A33" s="229"/>
      <c r="B33" s="6" t="s">
        <v>70</v>
      </c>
      <c r="C33" s="7">
        <v>0.6</v>
      </c>
      <c r="E33" t="s">
        <v>58</v>
      </c>
    </row>
    <row r="34" spans="1:5" x14ac:dyDescent="0.25">
      <c r="A34" s="229"/>
      <c r="B34" s="6" t="s">
        <v>71</v>
      </c>
      <c r="C34" s="7">
        <v>1</v>
      </c>
      <c r="E34" t="s">
        <v>58</v>
      </c>
    </row>
    <row r="35" spans="1:5" x14ac:dyDescent="0.25">
      <c r="A35" s="229" t="s">
        <v>72</v>
      </c>
      <c r="B35" s="6" t="s">
        <v>34</v>
      </c>
      <c r="C35" s="4" t="s">
        <v>51</v>
      </c>
      <c r="E35" t="s">
        <v>26</v>
      </c>
    </row>
    <row r="36" spans="1:5" x14ac:dyDescent="0.25">
      <c r="A36" s="229"/>
      <c r="B36" s="6" t="s">
        <v>35</v>
      </c>
      <c r="C36" s="4" t="s">
        <v>51</v>
      </c>
      <c r="E36" t="s">
        <v>26</v>
      </c>
    </row>
    <row r="37" spans="1:5" x14ac:dyDescent="0.25">
      <c r="A37" s="229"/>
      <c r="B37" s="6" t="s">
        <v>36</v>
      </c>
      <c r="C37" s="4" t="s">
        <v>51</v>
      </c>
      <c r="E37" t="s">
        <v>26</v>
      </c>
    </row>
    <row r="38" spans="1:5" x14ac:dyDescent="0.25">
      <c r="A38" s="229"/>
      <c r="B38" s="6" t="s">
        <v>37</v>
      </c>
      <c r="C38" s="4">
        <v>9.9</v>
      </c>
      <c r="D38" t="s">
        <v>79</v>
      </c>
      <c r="E38" t="s">
        <v>26</v>
      </c>
    </row>
    <row r="39" spans="1:5" x14ac:dyDescent="0.25">
      <c r="A39" s="229"/>
      <c r="B39" s="6" t="s">
        <v>38</v>
      </c>
      <c r="C39" s="4">
        <v>11.5</v>
      </c>
      <c r="E39" t="s">
        <v>26</v>
      </c>
    </row>
    <row r="40" spans="1:5" x14ac:dyDescent="0.25">
      <c r="A40" s="229"/>
      <c r="B40" s="6" t="s">
        <v>39</v>
      </c>
      <c r="C40" s="4">
        <v>11.2</v>
      </c>
      <c r="E40" t="s">
        <v>26</v>
      </c>
    </row>
    <row r="41" spans="1:5" x14ac:dyDescent="0.25">
      <c r="A41" s="229"/>
      <c r="B41" s="6" t="s">
        <v>40</v>
      </c>
      <c r="C41" s="4" t="s">
        <v>44</v>
      </c>
      <c r="E41" t="s">
        <v>26</v>
      </c>
    </row>
    <row r="42" spans="1:5" x14ac:dyDescent="0.25">
      <c r="A42" s="229"/>
      <c r="B42" s="6" t="s">
        <v>41</v>
      </c>
      <c r="C42" s="4" t="s">
        <v>43</v>
      </c>
      <c r="E42" t="s">
        <v>26</v>
      </c>
    </row>
    <row r="43" spans="1:5" x14ac:dyDescent="0.25">
      <c r="A43" s="229"/>
      <c r="B43" s="6" t="s">
        <v>42</v>
      </c>
      <c r="C43" s="15" t="s">
        <v>29</v>
      </c>
      <c r="D43" s="3"/>
      <c r="E43" t="s">
        <v>26</v>
      </c>
    </row>
    <row r="44" spans="1:5" x14ac:dyDescent="0.25">
      <c r="A44" s="229"/>
      <c r="B44" t="s">
        <v>45</v>
      </c>
      <c r="C44" s="4" t="s">
        <v>47</v>
      </c>
      <c r="E44" t="s">
        <v>26</v>
      </c>
    </row>
    <row r="45" spans="1:5" x14ac:dyDescent="0.25">
      <c r="A45" s="229"/>
      <c r="B45" t="s">
        <v>46</v>
      </c>
      <c r="C45" s="4" t="s">
        <v>48</v>
      </c>
      <c r="E45" t="s">
        <v>26</v>
      </c>
    </row>
    <row r="46" spans="1:5" x14ac:dyDescent="0.25">
      <c r="A46" s="229"/>
      <c r="B46" t="s">
        <v>27</v>
      </c>
      <c r="C46" s="4" t="s">
        <v>28</v>
      </c>
      <c r="E46" t="s">
        <v>26</v>
      </c>
    </row>
    <row r="47" spans="1:5" x14ac:dyDescent="0.25">
      <c r="A47" s="229"/>
      <c r="B47" t="s">
        <v>6</v>
      </c>
      <c r="C47" s="4" t="s">
        <v>12</v>
      </c>
      <c r="D47" s="8" t="s">
        <v>50</v>
      </c>
      <c r="E47" t="s">
        <v>7</v>
      </c>
    </row>
    <row r="48" spans="1:5" x14ac:dyDescent="0.25">
      <c r="A48" s="229"/>
      <c r="B48" t="s">
        <v>52</v>
      </c>
      <c r="C48" s="15" t="s">
        <v>55</v>
      </c>
      <c r="D48" s="3"/>
      <c r="E48" t="s">
        <v>26</v>
      </c>
    </row>
    <row r="49" spans="1:5" x14ac:dyDescent="0.25">
      <c r="A49" s="229"/>
      <c r="B49" t="s">
        <v>53</v>
      </c>
      <c r="C49" s="15" t="s">
        <v>56</v>
      </c>
      <c r="D49" s="3"/>
      <c r="E49" t="s">
        <v>26</v>
      </c>
    </row>
    <row r="50" spans="1:5" x14ac:dyDescent="0.25">
      <c r="A50" s="229"/>
      <c r="B50" t="s">
        <v>54</v>
      </c>
      <c r="C50" s="15" t="s">
        <v>57</v>
      </c>
      <c r="D50" s="3"/>
      <c r="E50" t="s">
        <v>26</v>
      </c>
    </row>
    <row r="51" spans="1:5" x14ac:dyDescent="0.25">
      <c r="A51" s="229"/>
      <c r="B51" t="s">
        <v>4</v>
      </c>
      <c r="C51" s="7">
        <v>0.15</v>
      </c>
      <c r="D51" s="7"/>
      <c r="E51" t="s">
        <v>58</v>
      </c>
    </row>
    <row r="52" spans="1:5" x14ac:dyDescent="0.25">
      <c r="A52" s="229"/>
      <c r="B52" t="s">
        <v>264</v>
      </c>
      <c r="C52" s="31" t="s">
        <v>265</v>
      </c>
      <c r="D52" s="7"/>
      <c r="E52" s="1" t="s">
        <v>261</v>
      </c>
    </row>
    <row r="53" spans="1:5" x14ac:dyDescent="0.25">
      <c r="A53" s="229"/>
      <c r="B53" t="s">
        <v>78</v>
      </c>
      <c r="C53" s="7">
        <v>0.4</v>
      </c>
      <c r="D53" s="7"/>
      <c r="E53" t="s">
        <v>58</v>
      </c>
    </row>
    <row r="54" spans="1:5" x14ac:dyDescent="0.25">
      <c r="A54" s="229"/>
      <c r="B54" t="s">
        <v>73</v>
      </c>
      <c r="C54" s="7" t="s">
        <v>105</v>
      </c>
      <c r="D54" s="7"/>
      <c r="E54" t="s">
        <v>58</v>
      </c>
    </row>
    <row r="55" spans="1:5" x14ac:dyDescent="0.25">
      <c r="A55" s="229"/>
      <c r="B55" t="s">
        <v>158</v>
      </c>
      <c r="C55" s="7" t="s">
        <v>161</v>
      </c>
      <c r="D55" s="7"/>
      <c r="E55" s="1" t="s">
        <v>159</v>
      </c>
    </row>
    <row r="56" spans="1:5" x14ac:dyDescent="0.25">
      <c r="A56" s="229"/>
      <c r="B56" t="s">
        <v>140</v>
      </c>
      <c r="C56" s="31" t="s">
        <v>141</v>
      </c>
      <c r="D56" s="7" t="s">
        <v>151</v>
      </c>
      <c r="E56" s="1" t="s">
        <v>152</v>
      </c>
    </row>
    <row r="57" spans="1:5" x14ac:dyDescent="0.25">
      <c r="A57" s="229"/>
      <c r="B57" t="s">
        <v>156</v>
      </c>
      <c r="C57" s="32">
        <v>3.7900000000000003E-2</v>
      </c>
      <c r="D57" s="7"/>
      <c r="E57" s="1" t="s">
        <v>157</v>
      </c>
    </row>
    <row r="58" spans="1:5" x14ac:dyDescent="0.25">
      <c r="A58" s="229"/>
      <c r="B58" t="s">
        <v>95</v>
      </c>
      <c r="C58" s="7">
        <v>0</v>
      </c>
      <c r="D58" s="7" t="s">
        <v>81</v>
      </c>
      <c r="E58" t="s">
        <v>82</v>
      </c>
    </row>
    <row r="59" spans="1:5" x14ac:dyDescent="0.25">
      <c r="A59" s="229"/>
      <c r="B59" t="s">
        <v>96</v>
      </c>
      <c r="C59" s="7">
        <v>0.2</v>
      </c>
      <c r="D59" s="7"/>
      <c r="E59" s="1" t="s">
        <v>102</v>
      </c>
    </row>
    <row r="60" spans="1:5" x14ac:dyDescent="0.25">
      <c r="A60" s="229"/>
      <c r="B60" t="s">
        <v>101</v>
      </c>
      <c r="C60" s="7" t="s">
        <v>103</v>
      </c>
      <c r="D60" s="7"/>
      <c r="E60" s="1" t="s">
        <v>104</v>
      </c>
    </row>
    <row r="61" spans="1:5" x14ac:dyDescent="0.25">
      <c r="A61" s="229"/>
      <c r="B61" t="s">
        <v>97</v>
      </c>
      <c r="C61" s="7">
        <v>0.3</v>
      </c>
      <c r="D61" s="7"/>
      <c r="E61" s="1" t="s">
        <v>102</v>
      </c>
    </row>
    <row r="62" spans="1:5" x14ac:dyDescent="0.25">
      <c r="A62" s="229"/>
      <c r="B62" t="s">
        <v>98</v>
      </c>
      <c r="C62" s="7">
        <v>0.27</v>
      </c>
      <c r="D62" s="7"/>
      <c r="E62" s="1" t="s">
        <v>102</v>
      </c>
    </row>
    <row r="63" spans="1:5" x14ac:dyDescent="0.25">
      <c r="A63" s="229"/>
      <c r="B63" t="s">
        <v>99</v>
      </c>
      <c r="C63" s="7">
        <v>0.25</v>
      </c>
      <c r="D63" s="7"/>
      <c r="E63" s="1" t="s">
        <v>102</v>
      </c>
    </row>
    <row r="64" spans="1:5" x14ac:dyDescent="0.25">
      <c r="A64" s="229"/>
      <c r="B64" t="s">
        <v>100</v>
      </c>
      <c r="C64" s="7">
        <v>0</v>
      </c>
      <c r="D64" s="7"/>
      <c r="E64" s="1" t="s">
        <v>102</v>
      </c>
    </row>
    <row r="65" spans="1:5" x14ac:dyDescent="0.25">
      <c r="A65" s="229"/>
      <c r="B65" t="s">
        <v>80</v>
      </c>
      <c r="C65" s="4" t="s">
        <v>0</v>
      </c>
      <c r="D65" s="8" t="s">
        <v>352</v>
      </c>
      <c r="E65" s="1" t="s">
        <v>339</v>
      </c>
    </row>
    <row r="66" spans="1:5" x14ac:dyDescent="0.25">
      <c r="A66" s="229"/>
      <c r="B66" t="s">
        <v>147</v>
      </c>
      <c r="C66" s="4" t="s">
        <v>148</v>
      </c>
      <c r="D66" s="8" t="s">
        <v>150</v>
      </c>
      <c r="E66" s="1" t="s">
        <v>149</v>
      </c>
    </row>
    <row r="67" spans="1:5" x14ac:dyDescent="0.25">
      <c r="A67" s="229"/>
      <c r="B67" t="s">
        <v>143</v>
      </c>
      <c r="C67" s="32">
        <v>5.0000000000000001E-3</v>
      </c>
      <c r="D67" s="8"/>
      <c r="E67" s="1" t="s">
        <v>142</v>
      </c>
    </row>
    <row r="68" spans="1:5" x14ac:dyDescent="0.25">
      <c r="A68" s="229"/>
      <c r="B68" t="s">
        <v>106</v>
      </c>
      <c r="C68" s="7">
        <v>0.12</v>
      </c>
      <c r="E68" s="1" t="s">
        <v>142</v>
      </c>
    </row>
    <row r="69" spans="1:5" x14ac:dyDescent="0.25">
      <c r="A69" s="229" t="s">
        <v>9</v>
      </c>
      <c r="B69" t="s">
        <v>259</v>
      </c>
      <c r="C69" s="32">
        <v>3.7999999999999999E-2</v>
      </c>
      <c r="E69" s="1" t="s">
        <v>261</v>
      </c>
    </row>
    <row r="70" spans="1:5" x14ac:dyDescent="0.25">
      <c r="A70" s="229"/>
      <c r="B70" t="s">
        <v>258</v>
      </c>
      <c r="C70" s="32">
        <v>4.5999999999999999E-2</v>
      </c>
      <c r="E70" s="1" t="s">
        <v>261</v>
      </c>
    </row>
    <row r="71" spans="1:5" x14ac:dyDescent="0.25">
      <c r="A71" s="229"/>
      <c r="B71" t="s">
        <v>262</v>
      </c>
      <c r="C71" s="4" t="s">
        <v>260</v>
      </c>
      <c r="E71" s="1" t="s">
        <v>263</v>
      </c>
    </row>
    <row r="76" spans="1:5" x14ac:dyDescent="0.25">
      <c r="A76" t="s">
        <v>144</v>
      </c>
      <c r="B76" s="1" t="s">
        <v>145</v>
      </c>
    </row>
    <row r="106" spans="1:2" x14ac:dyDescent="0.25">
      <c r="A106" t="s">
        <v>146</v>
      </c>
      <c r="B106" t="s">
        <v>107</v>
      </c>
    </row>
    <row r="148" spans="2:2" x14ac:dyDescent="0.25">
      <c r="B148" t="s">
        <v>107</v>
      </c>
    </row>
  </sheetData>
  <mergeCells count="6">
    <mergeCell ref="A69:A71"/>
    <mergeCell ref="A35:A68"/>
    <mergeCell ref="B19:B20"/>
    <mergeCell ref="B21:B22"/>
    <mergeCell ref="A23:A34"/>
    <mergeCell ref="A16:A22"/>
  </mergeCells>
  <hyperlinks>
    <hyperlink ref="E59" r:id="rId1" display="https://tradingeconomics.com/country-list/corporate-tax-rate?continent=australia"/>
    <hyperlink ref="E61" r:id="rId2" display="https://tradingeconomics.com/country-list/corporate-tax-rate?continent=australia"/>
    <hyperlink ref="E62" r:id="rId3" display="https://tradingeconomics.com/country-list/corporate-tax-rate?continent=australia"/>
    <hyperlink ref="E63" r:id="rId4" display="https://tradingeconomics.com/country-list/corporate-tax-rate?continent=australia"/>
    <hyperlink ref="E64" r:id="rId5" display="https://tradingeconomics.com/country-list/corporate-tax-rate?continent=australia"/>
    <hyperlink ref="E60" display="https://view.officeapps.live.com/op/view.aspx?src=https%3A%2F%2Fnaurufinance.info%2Fwp-content%2Fuploads%2F2020%2F09%2FNauru-Tax-Rates-1-July-2020-B.docx%23%3A~%3Atext%3DThere%2520are%2520three%2520taxes%2520imposed%2520under%2520the%2520BTA%25E2%2580%259"/>
    <hyperlink ref="E68" r:id="rId6"/>
    <hyperlink ref="E56" r:id="rId7"/>
    <hyperlink ref="E67" r:id="rId8"/>
    <hyperlink ref="B76" r:id="rId9"/>
    <hyperlink ref="E66" r:id="rId10"/>
    <hyperlink ref="E55" r:id="rId11"/>
    <hyperlink ref="E10" r:id="rId12"/>
    <hyperlink ref="E69" r:id="rId13"/>
    <hyperlink ref="E70" r:id="rId14"/>
    <hyperlink ref="E71" r:id="rId15"/>
    <hyperlink ref="E52" r:id="rId16"/>
    <hyperlink ref="E9" r:id="rId17"/>
    <hyperlink ref="E7" r:id="rId18"/>
  </hyperlinks>
  <pageMargins left="0.7" right="0.7" top="0.75" bottom="0.75" header="0.3" footer="0.3"/>
  <drawing r:id="rId1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
  <sheetViews>
    <sheetView workbookViewId="0">
      <selection activeCell="C16" sqref="C16"/>
    </sheetView>
  </sheetViews>
  <sheetFormatPr defaultColWidth="8.875" defaultRowHeight="15.75" x14ac:dyDescent="0.25"/>
  <cols>
    <col min="1" max="1" width="48.125" style="4" customWidth="1"/>
    <col min="2" max="2" width="18.125" style="68" customWidth="1"/>
    <col min="3" max="3" width="9" style="68" bestFit="1" customWidth="1"/>
    <col min="4" max="4" width="15.375" style="68" customWidth="1"/>
    <col min="5" max="5" width="8.875" style="68"/>
    <col min="6" max="6" width="12.5" style="68" customWidth="1"/>
    <col min="7" max="8" width="9" style="68" bestFit="1" customWidth="1"/>
    <col min="9" max="9" width="8.875" style="68"/>
    <col min="10" max="10" width="9.5" style="68" bestFit="1" customWidth="1"/>
    <col min="11" max="12" width="9" style="68" bestFit="1" customWidth="1"/>
  </cols>
  <sheetData>
    <row r="1" spans="1:12" x14ac:dyDescent="0.25">
      <c r="A1" s="4" t="s">
        <v>92</v>
      </c>
      <c r="B1" s="96" t="s">
        <v>160</v>
      </c>
    </row>
    <row r="3" spans="1:12" x14ac:dyDescent="0.25">
      <c r="B3" s="231" t="s">
        <v>110</v>
      </c>
      <c r="C3" s="231"/>
      <c r="D3" s="231"/>
      <c r="F3" s="231" t="s">
        <v>153</v>
      </c>
      <c r="G3" s="231"/>
      <c r="H3" s="231"/>
      <c r="J3" s="231" t="s">
        <v>154</v>
      </c>
      <c r="K3" s="231"/>
      <c r="L3" s="231"/>
    </row>
    <row r="4" spans="1:12" x14ac:dyDescent="0.25">
      <c r="A4" s="4" t="s">
        <v>134</v>
      </c>
      <c r="B4" s="68" t="s">
        <v>111</v>
      </c>
      <c r="C4" s="68" t="s">
        <v>112</v>
      </c>
      <c r="D4" s="68" t="s">
        <v>113</v>
      </c>
      <c r="F4" s="68" t="s">
        <v>111</v>
      </c>
      <c r="G4" s="68" t="s">
        <v>112</v>
      </c>
      <c r="H4" s="68" t="s">
        <v>113</v>
      </c>
      <c r="J4" s="68" t="s">
        <v>111</v>
      </c>
      <c r="K4" s="68" t="s">
        <v>112</v>
      </c>
      <c r="L4" s="68" t="s">
        <v>113</v>
      </c>
    </row>
    <row r="5" spans="1:12" x14ac:dyDescent="0.25">
      <c r="A5" s="4" t="s">
        <v>114</v>
      </c>
      <c r="B5" s="68">
        <v>2327.5410000000002</v>
      </c>
      <c r="C5" s="68">
        <v>344.76799999999997</v>
      </c>
      <c r="D5" s="68">
        <v>576.21</v>
      </c>
      <c r="E5" s="142"/>
      <c r="F5" s="68">
        <v>2440.2370000000001</v>
      </c>
      <c r="G5" s="68">
        <v>333.23399999999998</v>
      </c>
      <c r="H5" s="68">
        <v>605.17399999999998</v>
      </c>
      <c r="J5" s="68">
        <v>2536.6170000000002</v>
      </c>
      <c r="K5" s="68">
        <v>361.23700000000002</v>
      </c>
      <c r="L5" s="68">
        <v>601.24199999999996</v>
      </c>
    </row>
    <row r="6" spans="1:12" ht="17.100000000000001" customHeight="1" x14ac:dyDescent="0.25">
      <c r="A6" s="4" t="s">
        <v>115</v>
      </c>
      <c r="B6" s="68">
        <v>-25.329000000000001</v>
      </c>
      <c r="C6" s="68">
        <v>0</v>
      </c>
      <c r="D6" s="68">
        <v>-20.001000000000001</v>
      </c>
      <c r="F6" s="68">
        <v>-24.317</v>
      </c>
      <c r="G6" s="68">
        <v>0</v>
      </c>
      <c r="H6" s="68">
        <v>-19.062000000000001</v>
      </c>
      <c r="J6" s="68">
        <v>-31.588000000000001</v>
      </c>
      <c r="K6" s="68">
        <v>0</v>
      </c>
      <c r="L6" s="68">
        <v>-24.891999999999999</v>
      </c>
    </row>
    <row r="7" spans="1:12" ht="17.100000000000001" customHeight="1" x14ac:dyDescent="0.25">
      <c r="A7" s="61" t="s">
        <v>116</v>
      </c>
      <c r="B7" s="69">
        <v>2302.212</v>
      </c>
      <c r="C7" s="69">
        <v>344.76799999999997</v>
      </c>
      <c r="D7" s="69">
        <v>556.20899999999995</v>
      </c>
      <c r="E7" s="69"/>
      <c r="F7" s="69">
        <v>2415.92</v>
      </c>
      <c r="G7" s="69">
        <v>333.23099999999999</v>
      </c>
      <c r="H7" s="69">
        <v>586.11199999999997</v>
      </c>
      <c r="I7" s="69"/>
      <c r="J7" s="69">
        <v>2505.029</v>
      </c>
      <c r="K7" s="69">
        <v>361.23700000000002</v>
      </c>
      <c r="L7" s="69">
        <v>576.35</v>
      </c>
    </row>
    <row r="8" spans="1:12" x14ac:dyDescent="0.25">
      <c r="A8" s="62" t="s">
        <v>86</v>
      </c>
      <c r="B8" s="63">
        <f>B7/F7-1</f>
        <v>-4.706612801748411E-2</v>
      </c>
      <c r="C8" s="63">
        <f t="shared" ref="C8:D8" si="0">C7/G7-1</f>
        <v>3.462162884005382E-2</v>
      </c>
      <c r="D8" s="63">
        <f t="shared" si="0"/>
        <v>-5.1019259117711324E-2</v>
      </c>
      <c r="E8" s="11"/>
      <c r="F8" s="63">
        <f>F7/J7-1</f>
        <v>-3.5572043277742438E-2</v>
      </c>
      <c r="G8" s="63">
        <f t="shared" ref="G8:H8" si="1">G7/K7-1</f>
        <v>-7.7528049452298742E-2</v>
      </c>
      <c r="H8" s="63">
        <f t="shared" si="1"/>
        <v>1.6937624707209054E-2</v>
      </c>
      <c r="I8" s="11"/>
      <c r="J8" s="63"/>
      <c r="K8" s="63"/>
      <c r="L8" s="63"/>
    </row>
    <row r="9" spans="1:12" x14ac:dyDescent="0.25">
      <c r="A9" s="4" t="s">
        <v>139</v>
      </c>
      <c r="B9" s="68">
        <v>960.00900000000001</v>
      </c>
      <c r="C9" s="68">
        <v>160.499</v>
      </c>
      <c r="D9" s="68">
        <v>221.40799999999999</v>
      </c>
      <c r="F9" s="68">
        <v>1007.1079999999999</v>
      </c>
      <c r="G9" s="68">
        <v>137.98500000000001</v>
      </c>
      <c r="H9" s="68">
        <v>216.43199999999999</v>
      </c>
      <c r="J9" s="68">
        <v>1031.798</v>
      </c>
      <c r="K9" s="68">
        <v>159.32900000000001</v>
      </c>
      <c r="L9" s="68">
        <v>202.18299999999999</v>
      </c>
    </row>
    <row r="10" spans="1:12" x14ac:dyDescent="0.25">
      <c r="A10" s="66" t="s">
        <v>75</v>
      </c>
      <c r="B10" s="11">
        <f>B9/F9-1</f>
        <v>-4.6766583127132333E-2</v>
      </c>
      <c r="C10" s="11">
        <f t="shared" ref="C10:D10" si="2">C9/G9-1</f>
        <v>0.16316266260825429</v>
      </c>
      <c r="D10" s="11">
        <f t="shared" si="2"/>
        <v>2.2991054927182564E-2</v>
      </c>
      <c r="E10" s="11"/>
      <c r="F10" s="11">
        <f>F9/J9-1</f>
        <v>-2.3929102401826774E-2</v>
      </c>
      <c r="G10" s="11">
        <f t="shared" ref="G10:H10" si="3">G9/K9-1</f>
        <v>-0.13396180230843091</v>
      </c>
      <c r="H10" s="11">
        <f t="shared" si="3"/>
        <v>7.0475757111132076E-2</v>
      </c>
      <c r="I10" s="11"/>
      <c r="J10" s="11"/>
      <c r="K10" s="11"/>
      <c r="L10" s="11"/>
    </row>
    <row r="11" spans="1:12" x14ac:dyDescent="0.25">
      <c r="A11" s="4" t="s">
        <v>117</v>
      </c>
      <c r="B11" s="68">
        <v>-482.73500000000001</v>
      </c>
      <c r="F11" s="68">
        <v>-505.72</v>
      </c>
      <c r="J11" s="68">
        <v>-428.29199999999997</v>
      </c>
    </row>
    <row r="12" spans="1:12" x14ac:dyDescent="0.25">
      <c r="A12" s="4" t="s">
        <v>118</v>
      </c>
      <c r="B12" s="68">
        <v>54.136000000000003</v>
      </c>
      <c r="F12" s="68">
        <v>27.614000000000001</v>
      </c>
      <c r="J12" s="68">
        <v>9.6579999999999995</v>
      </c>
    </row>
    <row r="13" spans="1:12" x14ac:dyDescent="0.25">
      <c r="A13" s="30" t="s">
        <v>119</v>
      </c>
      <c r="B13" s="70">
        <v>-52.430999999999997</v>
      </c>
      <c r="C13" s="70"/>
      <c r="D13" s="70"/>
      <c r="F13" s="70">
        <v>-74.861999999999995</v>
      </c>
      <c r="G13" s="70"/>
      <c r="H13" s="70"/>
      <c r="J13" s="70">
        <v>-8.9949999999999992</v>
      </c>
      <c r="K13" s="70"/>
      <c r="L13" s="70"/>
    </row>
    <row r="14" spans="1:12" x14ac:dyDescent="0.25">
      <c r="A14" s="4" t="s">
        <v>120</v>
      </c>
      <c r="B14" s="68">
        <v>478.97899999999998</v>
      </c>
      <c r="F14" s="68">
        <v>454.14</v>
      </c>
      <c r="J14" s="68">
        <v>604.16899999999998</v>
      </c>
    </row>
    <row r="15" spans="1:12" x14ac:dyDescent="0.25">
      <c r="A15" s="4" t="s">
        <v>121</v>
      </c>
      <c r="B15" s="68">
        <v>0.94099999999999995</v>
      </c>
      <c r="F15" s="68">
        <v>924</v>
      </c>
      <c r="J15" s="68">
        <v>1.335</v>
      </c>
    </row>
    <row r="16" spans="1:12" x14ac:dyDescent="0.25">
      <c r="A16" s="4" t="s">
        <v>122</v>
      </c>
      <c r="B16" s="68">
        <v>-558.36500000000001</v>
      </c>
      <c r="F16" s="68">
        <v>-503.05900000000003</v>
      </c>
      <c r="J16" s="68">
        <v>-465.32100000000003</v>
      </c>
    </row>
    <row r="17" spans="1:12" x14ac:dyDescent="0.25">
      <c r="A17" s="4" t="s">
        <v>123</v>
      </c>
      <c r="B17" s="68">
        <v>-21.17</v>
      </c>
      <c r="F17" s="68">
        <v>-17.347000000000001</v>
      </c>
      <c r="J17" s="68">
        <v>-19.427</v>
      </c>
    </row>
    <row r="18" spans="1:12" x14ac:dyDescent="0.25">
      <c r="A18" s="30" t="s">
        <v>124</v>
      </c>
      <c r="B18" s="70">
        <v>-55.088000000000001</v>
      </c>
      <c r="C18" s="70"/>
      <c r="D18" s="70"/>
      <c r="F18" s="70">
        <v>-4.8940000000000001</v>
      </c>
      <c r="G18" s="70"/>
      <c r="H18" s="70"/>
      <c r="J18" s="70">
        <v>-4.1559999999999997</v>
      </c>
      <c r="K18" s="70"/>
      <c r="L18" s="70"/>
    </row>
    <row r="19" spans="1:12" x14ac:dyDescent="0.25">
      <c r="A19" s="4" t="s">
        <v>125</v>
      </c>
      <c r="B19" s="68">
        <v>-154.703</v>
      </c>
      <c r="F19" s="68">
        <v>-70.236000000000004</v>
      </c>
      <c r="J19" s="68">
        <v>116.6</v>
      </c>
    </row>
    <row r="20" spans="1:12" x14ac:dyDescent="0.25">
      <c r="A20" s="30" t="s">
        <v>126</v>
      </c>
      <c r="B20" s="70">
        <v>-132.483</v>
      </c>
      <c r="C20" s="70"/>
      <c r="D20" s="70"/>
      <c r="F20" s="70">
        <v>-149.28</v>
      </c>
      <c r="G20" s="70"/>
      <c r="H20" s="70"/>
      <c r="J20" s="70">
        <v>-153.53899999999999</v>
      </c>
      <c r="K20" s="70"/>
      <c r="L20" s="70"/>
    </row>
    <row r="21" spans="1:12" x14ac:dyDescent="0.25">
      <c r="A21" s="4" t="s">
        <v>127</v>
      </c>
      <c r="B21" s="68">
        <v>-287.18599999999998</v>
      </c>
      <c r="F21" s="68">
        <v>-219.51599999999999</v>
      </c>
      <c r="J21" s="68">
        <v>-36.939</v>
      </c>
    </row>
    <row r="23" spans="1:12" x14ac:dyDescent="0.25">
      <c r="A23" s="4" t="s">
        <v>128</v>
      </c>
      <c r="B23" s="68">
        <v>281.33199999999999</v>
      </c>
      <c r="C23" s="68">
        <v>41.819000000000003</v>
      </c>
      <c r="D23" s="68">
        <v>46.822000000000003</v>
      </c>
      <c r="F23" s="68">
        <v>157.80699999999999</v>
      </c>
      <c r="G23" s="68">
        <v>57.436999999999998</v>
      </c>
      <c r="H23" s="68">
        <v>45.485999999999997</v>
      </c>
      <c r="J23" s="68">
        <v>232.53800000000001</v>
      </c>
      <c r="K23" s="68">
        <v>50.204000000000001</v>
      </c>
      <c r="L23" s="68">
        <v>50.04</v>
      </c>
    </row>
    <row r="24" spans="1:12" x14ac:dyDescent="0.25">
      <c r="A24" s="4" t="s">
        <v>129</v>
      </c>
      <c r="B24" s="68">
        <v>503.74</v>
      </c>
      <c r="F24" s="68">
        <v>589.41399999999999</v>
      </c>
      <c r="J24" s="68">
        <v>511.06700000000001</v>
      </c>
    </row>
    <row r="25" spans="1:12" x14ac:dyDescent="0.25">
      <c r="A25" s="4" t="s">
        <v>130</v>
      </c>
      <c r="B25" s="68">
        <v>3441.2820000000002</v>
      </c>
      <c r="F25" s="68">
        <v>3618.1149999999998</v>
      </c>
      <c r="J25" s="68">
        <v>3503.5079999999998</v>
      </c>
    </row>
    <row r="26" spans="1:12" x14ac:dyDescent="0.25">
      <c r="A26" s="4" t="s">
        <v>131</v>
      </c>
      <c r="B26" s="68">
        <v>4226.3540000000003</v>
      </c>
      <c r="F26" s="68">
        <v>4365.3360000000002</v>
      </c>
      <c r="J26" s="68">
        <v>4247.1130000000003</v>
      </c>
    </row>
    <row r="27" spans="1:12" x14ac:dyDescent="0.25">
      <c r="A27" s="4" t="s">
        <v>132</v>
      </c>
      <c r="B27" s="68">
        <v>382.23099999999999</v>
      </c>
      <c r="C27" s="68">
        <v>46.415999999999997</v>
      </c>
      <c r="D27" s="68">
        <v>128.49600000000001</v>
      </c>
      <c r="E27" s="11"/>
      <c r="F27" s="68">
        <v>494.84399999999999</v>
      </c>
      <c r="G27" s="68">
        <v>51.292000000000002</v>
      </c>
      <c r="H27" s="68">
        <v>120.33799999999999</v>
      </c>
      <c r="J27" s="68">
        <v>429.34</v>
      </c>
      <c r="K27" s="68">
        <v>23.558</v>
      </c>
      <c r="L27" s="68">
        <v>90.17</v>
      </c>
    </row>
    <row r="28" spans="1:12" x14ac:dyDescent="0.25">
      <c r="A28" s="4" t="s">
        <v>93</v>
      </c>
      <c r="B28" s="68">
        <v>455.089</v>
      </c>
      <c r="C28" s="68">
        <v>60.942</v>
      </c>
      <c r="D28" s="68">
        <v>101.76600000000001</v>
      </c>
      <c r="F28" s="68">
        <v>454.887</v>
      </c>
      <c r="G28" s="68">
        <v>64.617999999999995</v>
      </c>
      <c r="H28" s="68">
        <v>130.43899999999999</v>
      </c>
      <c r="J28" s="68">
        <v>416.81700000000001</v>
      </c>
      <c r="K28" s="68">
        <v>58.68</v>
      </c>
      <c r="L28" s="68">
        <v>117.499</v>
      </c>
    </row>
    <row r="29" spans="1:12" x14ac:dyDescent="0.25">
      <c r="A29" s="4" t="s">
        <v>133</v>
      </c>
      <c r="B29" s="68">
        <v>27.646000000000001</v>
      </c>
      <c r="C29" s="68">
        <v>3.3940000000000001</v>
      </c>
      <c r="D29" s="68">
        <v>6607</v>
      </c>
      <c r="F29" s="68">
        <v>50.832999999999998</v>
      </c>
      <c r="G29" s="68">
        <v>1.1850000000000001</v>
      </c>
      <c r="H29" s="68">
        <v>36.680999999999997</v>
      </c>
      <c r="J29" s="68">
        <v>11.475</v>
      </c>
      <c r="K29" s="68">
        <v>0</v>
      </c>
      <c r="L29" s="68">
        <v>1.75</v>
      </c>
    </row>
    <row r="33" spans="1:15" x14ac:dyDescent="0.25">
      <c r="A33" s="33" t="s">
        <v>162</v>
      </c>
      <c r="B33" s="11">
        <f>B28/B25</f>
        <v>0.1322440299864992</v>
      </c>
      <c r="C33" s="11"/>
      <c r="D33" s="11"/>
      <c r="E33" s="11"/>
      <c r="F33" s="11">
        <f t="shared" ref="F33:J33" si="4">F28/F25</f>
        <v>0.12572485949175194</v>
      </c>
      <c r="G33" s="11"/>
      <c r="H33" s="11"/>
      <c r="I33" s="11"/>
      <c r="J33" s="11">
        <f t="shared" si="4"/>
        <v>0.11897132816594112</v>
      </c>
      <c r="M33" t="s">
        <v>163</v>
      </c>
      <c r="N33" s="11">
        <f>(J33+F33+B33)/3</f>
        <v>0.12564673921473077</v>
      </c>
    </row>
    <row r="34" spans="1:15" x14ac:dyDescent="0.25">
      <c r="A34" s="18" t="s">
        <v>203</v>
      </c>
      <c r="B34" s="142">
        <f>-B11/B27</f>
        <v>1.2629404731693663</v>
      </c>
      <c r="C34" s="142"/>
      <c r="D34" s="142"/>
      <c r="E34" s="142"/>
      <c r="F34" s="142">
        <f t="shared" ref="F34:J34" si="5">-F11/F27</f>
        <v>1.0219786437746037</v>
      </c>
      <c r="G34" s="142"/>
      <c r="H34" s="142"/>
      <c r="I34" s="142"/>
      <c r="J34" s="142">
        <f t="shared" si="5"/>
        <v>0.9975590441142218</v>
      </c>
      <c r="K34" s="142"/>
      <c r="L34" s="142"/>
      <c r="M34" s="68"/>
      <c r="N34" s="68"/>
      <c r="O34" s="68"/>
    </row>
  </sheetData>
  <mergeCells count="3">
    <mergeCell ref="B3:D3"/>
    <mergeCell ref="F3:H3"/>
    <mergeCell ref="J3:L3"/>
  </mergeCells>
  <hyperlinks>
    <hyperlink ref="B1" r:id="rId1"/>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29"/>
  <sheetViews>
    <sheetView topLeftCell="A10" workbookViewId="0">
      <selection activeCell="G32" sqref="G32"/>
    </sheetView>
  </sheetViews>
  <sheetFormatPr defaultColWidth="11" defaultRowHeight="15.75" x14ac:dyDescent="0.25"/>
  <cols>
    <col min="1" max="1" width="31.625" customWidth="1"/>
    <col min="2" max="2" width="13.125" bestFit="1" customWidth="1"/>
  </cols>
  <sheetData>
    <row r="1" spans="1:22" x14ac:dyDescent="0.25">
      <c r="A1" s="1" t="s">
        <v>152</v>
      </c>
    </row>
    <row r="2" spans="1:22" ht="266.10000000000002" customHeight="1" x14ac:dyDescent="0.25">
      <c r="A2" s="232" t="s">
        <v>232</v>
      </c>
      <c r="B2" s="232"/>
      <c r="C2" s="232"/>
      <c r="D2" s="232"/>
      <c r="E2" s="232"/>
      <c r="F2" s="232"/>
      <c r="G2" s="232"/>
      <c r="H2" s="232"/>
      <c r="I2" s="232"/>
      <c r="J2" s="232"/>
      <c r="K2" s="232"/>
      <c r="L2" s="232"/>
      <c r="M2" s="232"/>
      <c r="N2" s="232"/>
    </row>
    <row r="3" spans="1:22" x14ac:dyDescent="0.25">
      <c r="A3" t="s">
        <v>156</v>
      </c>
      <c r="B3" s="43">
        <v>3.7900000000000003E-2</v>
      </c>
      <c r="C3" s="1" t="s">
        <v>157</v>
      </c>
      <c r="D3" s="42"/>
      <c r="E3" s="42"/>
      <c r="F3" s="41"/>
      <c r="G3" s="41"/>
    </row>
    <row r="4" spans="1:22" x14ac:dyDescent="0.25">
      <c r="A4" t="s">
        <v>209</v>
      </c>
      <c r="B4" s="116">
        <v>0.05</v>
      </c>
      <c r="C4" s="1" t="s">
        <v>210</v>
      </c>
      <c r="D4" s="42"/>
      <c r="E4" s="42"/>
      <c r="F4" s="41"/>
      <c r="G4" s="41"/>
    </row>
    <row r="5" spans="1:22" x14ac:dyDescent="0.25">
      <c r="A5" t="s">
        <v>267</v>
      </c>
      <c r="B5" s="116">
        <f>'Information given'!C69</f>
        <v>3.7999999999999999E-2</v>
      </c>
      <c r="C5" s="1" t="s">
        <v>261</v>
      </c>
      <c r="D5" s="42"/>
      <c r="E5" s="42"/>
      <c r="F5" s="41"/>
      <c r="G5" s="41"/>
    </row>
    <row r="6" spans="1:22" x14ac:dyDescent="0.25">
      <c r="A6" t="s">
        <v>268</v>
      </c>
      <c r="B6" s="43">
        <v>3.5000000000000003E-2</v>
      </c>
      <c r="C6" s="1" t="s">
        <v>210</v>
      </c>
      <c r="D6" s="42"/>
      <c r="E6" s="42"/>
      <c r="F6" s="41"/>
      <c r="G6" s="41"/>
    </row>
    <row r="7" spans="1:22" x14ac:dyDescent="0.25">
      <c r="A7" s="60" t="s">
        <v>275</v>
      </c>
      <c r="B7" s="32"/>
      <c r="C7" s="1"/>
      <c r="D7" s="42"/>
      <c r="E7" s="42"/>
      <c r="F7" s="41"/>
      <c r="G7" s="41"/>
    </row>
    <row r="8" spans="1:22" x14ac:dyDescent="0.25">
      <c r="A8" s="60"/>
      <c r="B8" s="32"/>
      <c r="C8" s="1"/>
      <c r="D8" s="42"/>
      <c r="E8" s="42"/>
      <c r="F8" s="41"/>
      <c r="G8" s="41"/>
    </row>
    <row r="9" spans="1:22" x14ac:dyDescent="0.25">
      <c r="A9" s="60"/>
      <c r="B9" s="32"/>
      <c r="C9" s="1"/>
      <c r="D9" s="42"/>
      <c r="E9" s="42"/>
      <c r="F9" s="41"/>
      <c r="G9" s="41"/>
    </row>
    <row r="10" spans="1:22" x14ac:dyDescent="0.25">
      <c r="A10" s="60"/>
      <c r="B10" s="26" t="s">
        <v>135</v>
      </c>
      <c r="C10" s="27" t="s">
        <v>136</v>
      </c>
      <c r="D10" s="150" t="s">
        <v>271</v>
      </c>
      <c r="E10" s="42"/>
      <c r="F10" s="41"/>
      <c r="G10" s="41"/>
    </row>
    <row r="11" spans="1:22" x14ac:dyDescent="0.25">
      <c r="A11" s="60"/>
      <c r="B11" s="32"/>
      <c r="C11" s="1"/>
      <c r="D11" s="42"/>
      <c r="E11" s="42"/>
      <c r="F11" s="41"/>
      <c r="G11" s="41"/>
    </row>
    <row r="12" spans="1:22" x14ac:dyDescent="0.25">
      <c r="A12" s="82" t="s">
        <v>233</v>
      </c>
      <c r="B12" s="32"/>
      <c r="C12" s="1"/>
      <c r="D12" s="42"/>
      <c r="E12" s="42"/>
      <c r="F12" s="41"/>
      <c r="G12" s="41"/>
    </row>
    <row r="13" spans="1:22" x14ac:dyDescent="0.25">
      <c r="B13" s="31" t="s">
        <v>167</v>
      </c>
      <c r="C13" s="31" t="s">
        <v>168</v>
      </c>
      <c r="D13" s="31" t="s">
        <v>169</v>
      </c>
      <c r="E13" s="31" t="s">
        <v>170</v>
      </c>
      <c r="F13" s="31" t="s">
        <v>171</v>
      </c>
      <c r="G13" s="31" t="s">
        <v>172</v>
      </c>
      <c r="H13" s="31" t="s">
        <v>173</v>
      </c>
      <c r="I13" s="31" t="s">
        <v>174</v>
      </c>
      <c r="J13" s="31" t="s">
        <v>175</v>
      </c>
      <c r="K13" s="31" t="s">
        <v>176</v>
      </c>
      <c r="L13" s="31" t="s">
        <v>177</v>
      </c>
      <c r="M13" s="31" t="s">
        <v>178</v>
      </c>
      <c r="N13" s="31" t="s">
        <v>179</v>
      </c>
      <c r="O13" s="31" t="s">
        <v>180</v>
      </c>
      <c r="P13" s="31" t="s">
        <v>181</v>
      </c>
      <c r="Q13" s="31" t="s">
        <v>182</v>
      </c>
      <c r="R13" s="31" t="s">
        <v>183</v>
      </c>
      <c r="S13" s="31" t="s">
        <v>184</v>
      </c>
      <c r="T13" s="31" t="s">
        <v>185</v>
      </c>
      <c r="U13" s="31" t="s">
        <v>186</v>
      </c>
      <c r="V13" s="31" t="s">
        <v>187</v>
      </c>
    </row>
    <row r="14" spans="1:22" x14ac:dyDescent="0.25">
      <c r="A14" s="36" t="s">
        <v>165</v>
      </c>
      <c r="B14" s="112">
        <v>95</v>
      </c>
      <c r="C14" s="33">
        <f>B14-C15</f>
        <v>92.5</v>
      </c>
      <c r="D14" s="33">
        <f t="shared" ref="D14:U14" si="0">C14-D15</f>
        <v>90</v>
      </c>
      <c r="E14" s="33">
        <f t="shared" si="0"/>
        <v>87.5</v>
      </c>
      <c r="F14" s="33">
        <f t="shared" si="0"/>
        <v>85</v>
      </c>
      <c r="G14" s="33">
        <f t="shared" si="0"/>
        <v>82.5</v>
      </c>
      <c r="H14" s="33">
        <f t="shared" si="0"/>
        <v>80</v>
      </c>
      <c r="I14" s="33">
        <f t="shared" si="0"/>
        <v>77.5</v>
      </c>
      <c r="J14" s="33">
        <f t="shared" si="0"/>
        <v>75</v>
      </c>
      <c r="K14" s="33">
        <f t="shared" si="0"/>
        <v>68.75</v>
      </c>
      <c r="L14" s="33">
        <f t="shared" si="0"/>
        <v>62.5</v>
      </c>
      <c r="M14" s="33">
        <f t="shared" si="0"/>
        <v>56.25</v>
      </c>
      <c r="N14" s="33">
        <f t="shared" si="0"/>
        <v>50</v>
      </c>
      <c r="O14" s="33">
        <f t="shared" si="0"/>
        <v>43.75</v>
      </c>
      <c r="P14" s="33">
        <f t="shared" si="0"/>
        <v>37.5</v>
      </c>
      <c r="Q14" s="33">
        <f t="shared" si="0"/>
        <v>31.25</v>
      </c>
      <c r="R14" s="33">
        <f t="shared" si="0"/>
        <v>25</v>
      </c>
      <c r="S14" s="33">
        <f t="shared" si="0"/>
        <v>18.75</v>
      </c>
      <c r="T14" s="33">
        <f t="shared" si="0"/>
        <v>12.5</v>
      </c>
      <c r="U14" s="33">
        <f t="shared" si="0"/>
        <v>6.25</v>
      </c>
      <c r="V14" s="33">
        <f>U14-V15</f>
        <v>0</v>
      </c>
    </row>
    <row r="15" spans="1:22" x14ac:dyDescent="0.25">
      <c r="A15" s="36" t="s">
        <v>166</v>
      </c>
      <c r="B15" s="42"/>
      <c r="C15" s="112">
        <v>2.5</v>
      </c>
      <c r="D15" s="112">
        <v>2.5</v>
      </c>
      <c r="E15" s="112">
        <v>2.5</v>
      </c>
      <c r="F15" s="112">
        <v>2.5</v>
      </c>
      <c r="G15" s="112">
        <v>2.5</v>
      </c>
      <c r="H15" s="112">
        <v>2.5</v>
      </c>
      <c r="I15" s="112">
        <v>2.5</v>
      </c>
      <c r="J15" s="112">
        <v>2.5</v>
      </c>
      <c r="K15" s="112">
        <v>6.25</v>
      </c>
      <c r="L15" s="112">
        <v>6.25</v>
      </c>
      <c r="M15" s="112">
        <v>6.25</v>
      </c>
      <c r="N15" s="112">
        <v>6.25</v>
      </c>
      <c r="O15" s="112">
        <v>6.25</v>
      </c>
      <c r="P15" s="112">
        <v>6.25</v>
      </c>
      <c r="Q15" s="112">
        <v>6.25</v>
      </c>
      <c r="R15" s="112">
        <v>6.25</v>
      </c>
      <c r="S15" s="112">
        <v>6.25</v>
      </c>
      <c r="T15" s="112">
        <v>6.25</v>
      </c>
      <c r="U15" s="112">
        <v>6.25</v>
      </c>
      <c r="V15" s="112">
        <v>6.25</v>
      </c>
    </row>
    <row r="16" spans="1:22" x14ac:dyDescent="0.25">
      <c r="A16" t="s">
        <v>244</v>
      </c>
      <c r="B16" s="116">
        <f>B3+2.75%</f>
        <v>6.54E-2</v>
      </c>
      <c r="C16" s="116">
        <f>B16</f>
        <v>6.54E-2</v>
      </c>
      <c r="D16" s="116">
        <f>C16</f>
        <v>6.54E-2</v>
      </c>
      <c r="E16" s="116">
        <f>D16</f>
        <v>6.54E-2</v>
      </c>
      <c r="F16" s="116">
        <f t="shared" ref="F16:U16" si="1">E16-0.2%</f>
        <v>6.3399999999999998E-2</v>
      </c>
      <c r="G16" s="116">
        <f>F16</f>
        <v>6.3399999999999998E-2</v>
      </c>
      <c r="H16" s="116">
        <f>G16</f>
        <v>6.3399999999999998E-2</v>
      </c>
      <c r="I16" s="116">
        <f>H16</f>
        <v>6.3399999999999998E-2</v>
      </c>
      <c r="J16" s="116">
        <f t="shared" si="1"/>
        <v>6.1399999999999996E-2</v>
      </c>
      <c r="K16" s="116">
        <f>J16</f>
        <v>6.1399999999999996E-2</v>
      </c>
      <c r="L16" s="116">
        <f>K16</f>
        <v>6.1399999999999996E-2</v>
      </c>
      <c r="M16" s="116">
        <f>L16</f>
        <v>6.1399999999999996E-2</v>
      </c>
      <c r="N16" s="116">
        <f t="shared" si="1"/>
        <v>5.9399999999999994E-2</v>
      </c>
      <c r="O16" s="116">
        <f>N16</f>
        <v>5.9399999999999994E-2</v>
      </c>
      <c r="P16" s="116">
        <f t="shared" ref="P16:Q16" si="2">O16</f>
        <v>5.9399999999999994E-2</v>
      </c>
      <c r="Q16" s="116">
        <f t="shared" si="2"/>
        <v>5.9399999999999994E-2</v>
      </c>
      <c r="R16" s="116">
        <f t="shared" si="1"/>
        <v>5.7399999999999993E-2</v>
      </c>
      <c r="S16" s="116">
        <f>R16-0.2%</f>
        <v>5.5399999999999991E-2</v>
      </c>
      <c r="T16" s="116">
        <f t="shared" si="1"/>
        <v>5.3399999999999989E-2</v>
      </c>
      <c r="U16" s="116">
        <f t="shared" si="1"/>
        <v>5.1399999999999987E-2</v>
      </c>
      <c r="V16" s="44"/>
    </row>
    <row r="17" spans="1:22" x14ac:dyDescent="0.25">
      <c r="A17" t="s">
        <v>188</v>
      </c>
      <c r="B17" s="41"/>
      <c r="C17" s="117">
        <f>B14*B16/4</f>
        <v>1.55325</v>
      </c>
      <c r="D17" s="117">
        <f t="shared" ref="D17:V17" si="3">C14*C16/4</f>
        <v>1.512375</v>
      </c>
      <c r="E17" s="117">
        <f t="shared" si="3"/>
        <v>1.4715</v>
      </c>
      <c r="F17" s="117">
        <f t="shared" si="3"/>
        <v>1.430625</v>
      </c>
      <c r="G17" s="117">
        <f t="shared" si="3"/>
        <v>1.3472500000000001</v>
      </c>
      <c r="H17" s="117">
        <f t="shared" si="3"/>
        <v>1.307625</v>
      </c>
      <c r="I17" s="117">
        <f t="shared" si="3"/>
        <v>1.268</v>
      </c>
      <c r="J17" s="117">
        <f t="shared" si="3"/>
        <v>1.228375</v>
      </c>
      <c r="K17" s="117">
        <f t="shared" si="3"/>
        <v>1.1512499999999999</v>
      </c>
      <c r="L17" s="117">
        <f t="shared" si="3"/>
        <v>1.0553124999999999</v>
      </c>
      <c r="M17" s="117">
        <f t="shared" si="3"/>
        <v>0.95937499999999998</v>
      </c>
      <c r="N17" s="117">
        <f t="shared" si="3"/>
        <v>0.86343749999999997</v>
      </c>
      <c r="O17" s="117">
        <f t="shared" si="3"/>
        <v>0.74249999999999994</v>
      </c>
      <c r="P17" s="117">
        <f t="shared" si="3"/>
        <v>0.64968749999999997</v>
      </c>
      <c r="Q17" s="117">
        <f t="shared" si="3"/>
        <v>0.5568749999999999</v>
      </c>
      <c r="R17" s="117">
        <f t="shared" si="3"/>
        <v>0.46406249999999993</v>
      </c>
      <c r="S17" s="117">
        <f t="shared" si="3"/>
        <v>0.35874999999999996</v>
      </c>
      <c r="T17" s="117">
        <f t="shared" si="3"/>
        <v>0.25968749999999996</v>
      </c>
      <c r="U17" s="117">
        <f t="shared" si="3"/>
        <v>0.16687499999999997</v>
      </c>
      <c r="V17" s="117">
        <f t="shared" si="3"/>
        <v>8.0312499999999981E-2</v>
      </c>
    </row>
    <row r="18" spans="1:22" x14ac:dyDescent="0.25">
      <c r="C18" s="35"/>
      <c r="D18" s="35"/>
      <c r="E18" s="35"/>
    </row>
    <row r="19" spans="1:22" x14ac:dyDescent="0.25">
      <c r="A19" s="48" t="s">
        <v>108</v>
      </c>
      <c r="B19" s="46" t="s">
        <v>189</v>
      </c>
      <c r="C19" s="47" t="s">
        <v>190</v>
      </c>
      <c r="D19" s="47" t="s">
        <v>191</v>
      </c>
      <c r="E19" s="47" t="s">
        <v>192</v>
      </c>
      <c r="F19" s="47" t="s">
        <v>193</v>
      </c>
      <c r="G19" s="47" t="s">
        <v>194</v>
      </c>
      <c r="H19" s="47" t="s">
        <v>195</v>
      </c>
      <c r="I19" s="47"/>
    </row>
    <row r="20" spans="1:22" x14ac:dyDescent="0.25">
      <c r="A20" s="36" t="s">
        <v>165</v>
      </c>
      <c r="B20" s="117">
        <f>G14</f>
        <v>82.5</v>
      </c>
      <c r="C20" s="117">
        <f>K14</f>
        <v>68.75</v>
      </c>
      <c r="D20" s="117">
        <f>N14</f>
        <v>50</v>
      </c>
      <c r="E20" s="117">
        <f>Q14</f>
        <v>31.25</v>
      </c>
      <c r="F20" s="117">
        <f>T14</f>
        <v>12.5</v>
      </c>
      <c r="G20" s="117">
        <v>0</v>
      </c>
      <c r="H20" s="117">
        <v>0</v>
      </c>
      <c r="I20" s="47"/>
    </row>
    <row r="21" spans="1:22" x14ac:dyDescent="0.25">
      <c r="A21" t="s">
        <v>188</v>
      </c>
      <c r="B21" s="117">
        <f>C17+D17+E17</f>
        <v>4.5371249999999996</v>
      </c>
      <c r="C21" s="117">
        <f>SUM(F17:I17)</f>
        <v>5.3534999999999995</v>
      </c>
      <c r="D21" s="117">
        <f>SUM(J17:M17)</f>
        <v>4.3943124999999998</v>
      </c>
      <c r="E21" s="117">
        <f>SUM(N17:Q17)</f>
        <v>2.8125</v>
      </c>
      <c r="F21" s="117">
        <f>SUM(R17:U17)</f>
        <v>1.2493749999999999</v>
      </c>
      <c r="G21" s="117">
        <f>V17</f>
        <v>8.0312499999999981E-2</v>
      </c>
      <c r="H21" s="117">
        <v>0</v>
      </c>
    </row>
    <row r="22" spans="1:22" x14ac:dyDescent="0.25">
      <c r="B22" s="35"/>
      <c r="C22" s="35"/>
      <c r="D22" s="35"/>
      <c r="E22" s="35"/>
      <c r="F22" s="35"/>
      <c r="G22" s="35"/>
      <c r="H22" s="35"/>
    </row>
    <row r="23" spans="1:22" x14ac:dyDescent="0.25">
      <c r="G23" s="45"/>
    </row>
    <row r="24" spans="1:22" x14ac:dyDescent="0.25">
      <c r="A24" s="82" t="s">
        <v>276</v>
      </c>
      <c r="C24" s="35"/>
      <c r="D24" s="35"/>
      <c r="E24" s="35"/>
    </row>
    <row r="25" spans="1:22" x14ac:dyDescent="0.25">
      <c r="B25" s="46" t="s">
        <v>191</v>
      </c>
      <c r="C25" s="46" t="s">
        <v>192</v>
      </c>
      <c r="D25" s="47" t="s">
        <v>193</v>
      </c>
      <c r="E25" s="47" t="s">
        <v>194</v>
      </c>
      <c r="F25" s="47" t="s">
        <v>211</v>
      </c>
      <c r="G25" s="47" t="s">
        <v>212</v>
      </c>
      <c r="H25" s="47" t="s">
        <v>213</v>
      </c>
      <c r="I25" s="47" t="s">
        <v>214</v>
      </c>
      <c r="J25" s="47" t="s">
        <v>215</v>
      </c>
      <c r="K25" s="47" t="s">
        <v>216</v>
      </c>
      <c r="L25" s="47" t="s">
        <v>217</v>
      </c>
      <c r="M25" s="47" t="s">
        <v>247</v>
      </c>
      <c r="N25" s="47" t="s">
        <v>313</v>
      </c>
      <c r="O25" s="47" t="s">
        <v>317</v>
      </c>
    </row>
    <row r="26" spans="1:22" x14ac:dyDescent="0.25">
      <c r="A26" s="36" t="s">
        <v>165</v>
      </c>
      <c r="B26" s="35">
        <f>'Deal Evaluation'!F69</f>
        <v>720</v>
      </c>
      <c r="C26" s="38">
        <f>'Deal Evaluation'!G69</f>
        <v>681.92735981374994</v>
      </c>
      <c r="D26" s="38">
        <f>'Deal Evaluation'!H69</f>
        <v>638.57709519003367</v>
      </c>
      <c r="E26" s="38">
        <f>'Deal Evaluation'!I69</f>
        <v>583.71712571752346</v>
      </c>
      <c r="F26" s="38">
        <f>'Deal Evaluation'!J69</f>
        <v>511.39572774072798</v>
      </c>
      <c r="G26" s="38">
        <f>'Deal Evaluation'!K69</f>
        <v>433.6839164374698</v>
      </c>
      <c r="H26" s="38">
        <f>'Deal Evaluation'!L69</f>
        <v>350.35290787381757</v>
      </c>
      <c r="I26" s="38">
        <f>'Deal Evaluation'!M69</f>
        <v>216.16565780312334</v>
      </c>
      <c r="J26" s="38">
        <f>'Deal Evaluation'!N69</f>
        <v>143.99999900000012</v>
      </c>
      <c r="K26" s="38">
        <f>'Deal Evaluation'!O69</f>
        <v>72.000000000000114</v>
      </c>
      <c r="L26" s="38">
        <f>'Deal Evaluation'!P69</f>
        <v>1.1368683772161603E-13</v>
      </c>
      <c r="M26" s="38">
        <f>'Deal Evaluation'!Q69</f>
        <v>1.1368683772161603E-13</v>
      </c>
      <c r="N26" s="38">
        <f>'Deal Evaluation'!R69</f>
        <v>1.1368683772161603E-13</v>
      </c>
      <c r="O26" s="38">
        <f>'Deal Evaluation'!S69</f>
        <v>1.1368683772161603E-13</v>
      </c>
    </row>
    <row r="27" spans="1:22" x14ac:dyDescent="0.25">
      <c r="A27" s="36" t="s">
        <v>166</v>
      </c>
      <c r="B27" s="35"/>
      <c r="C27" s="38">
        <f>'Deal Evaluation'!G70</f>
        <v>38.072640186250055</v>
      </c>
      <c r="D27" s="38">
        <f>'Deal Evaluation'!H70</f>
        <v>43.350264623716242</v>
      </c>
      <c r="E27" s="38">
        <f>'Deal Evaluation'!I70</f>
        <v>54.859969472510244</v>
      </c>
      <c r="F27" s="38">
        <f>'Deal Evaluation'!J70</f>
        <v>72.321397976795481</v>
      </c>
      <c r="G27" s="38">
        <f>'Deal Evaluation'!K70</f>
        <v>77.711811303258159</v>
      </c>
      <c r="H27" s="38">
        <f>'Deal Evaluation'!L70</f>
        <v>83.331008563652262</v>
      </c>
      <c r="I27" s="38">
        <f>'Deal Evaluation'!M70</f>
        <v>134.18725007069423</v>
      </c>
      <c r="J27" s="38">
        <f>'Deal Evaluation'!N70</f>
        <v>72.165658803123222</v>
      </c>
      <c r="K27" s="38">
        <f>'Deal Evaluation'!O70</f>
        <v>71.999999000000003</v>
      </c>
      <c r="L27" s="38">
        <f>'Deal Evaluation'!P70</f>
        <v>72</v>
      </c>
      <c r="M27" s="38">
        <f>'Deal Evaluation'!Q70</f>
        <v>0</v>
      </c>
      <c r="N27" s="38">
        <f>'Deal Evaluation'!R70</f>
        <v>0</v>
      </c>
      <c r="O27" s="38">
        <f>'Deal Evaluation'!S70</f>
        <v>0</v>
      </c>
    </row>
    <row r="28" spans="1:22" x14ac:dyDescent="0.25">
      <c r="A28" t="s">
        <v>155</v>
      </c>
      <c r="B28" s="35"/>
      <c r="C28" s="118">
        <f>$B$6</f>
        <v>3.5000000000000003E-2</v>
      </c>
      <c r="D28" s="118">
        <f t="shared" ref="D28:L28" si="4">$B$6</f>
        <v>3.5000000000000003E-2</v>
      </c>
      <c r="E28" s="118">
        <f t="shared" si="4"/>
        <v>3.5000000000000003E-2</v>
      </c>
      <c r="F28" s="118">
        <f t="shared" si="4"/>
        <v>3.5000000000000003E-2</v>
      </c>
      <c r="G28" s="118">
        <f t="shared" si="4"/>
        <v>3.5000000000000003E-2</v>
      </c>
      <c r="H28" s="118">
        <f t="shared" si="4"/>
        <v>3.5000000000000003E-2</v>
      </c>
      <c r="I28" s="118">
        <f t="shared" si="4"/>
        <v>3.5000000000000003E-2</v>
      </c>
      <c r="J28" s="118">
        <f t="shared" si="4"/>
        <v>3.5000000000000003E-2</v>
      </c>
      <c r="K28" s="118">
        <f t="shared" si="4"/>
        <v>3.5000000000000003E-2</v>
      </c>
      <c r="L28" s="118">
        <f t="shared" si="4"/>
        <v>3.5000000000000003E-2</v>
      </c>
      <c r="M28" s="38">
        <v>0</v>
      </c>
      <c r="N28" s="38">
        <v>0</v>
      </c>
      <c r="O28" s="38">
        <v>0</v>
      </c>
    </row>
    <row r="29" spans="1:22" x14ac:dyDescent="0.25">
      <c r="A29" t="s">
        <v>188</v>
      </c>
      <c r="B29" s="35"/>
      <c r="C29" s="144">
        <f>B26*C28</f>
        <v>25.200000000000003</v>
      </c>
      <c r="D29" s="144">
        <f t="shared" ref="D29:L29" si="5">C26*D28</f>
        <v>23.867457593481252</v>
      </c>
      <c r="E29" s="144">
        <f t="shared" si="5"/>
        <v>22.350198331651182</v>
      </c>
      <c r="F29" s="144">
        <f t="shared" si="5"/>
        <v>20.430099400113324</v>
      </c>
      <c r="G29" s="144">
        <f t="shared" si="5"/>
        <v>17.898850470925481</v>
      </c>
      <c r="H29" s="144">
        <f t="shared" si="5"/>
        <v>15.178937075311445</v>
      </c>
      <c r="I29" s="144">
        <f t="shared" si="5"/>
        <v>12.262351775583616</v>
      </c>
      <c r="J29" s="144">
        <f t="shared" si="5"/>
        <v>7.5657980231093171</v>
      </c>
      <c r="K29" s="144">
        <f t="shared" si="5"/>
        <v>5.0399999650000042</v>
      </c>
      <c r="L29" s="144">
        <f t="shared" si="5"/>
        <v>2.520000000000004</v>
      </c>
      <c r="M29" s="38">
        <v>0</v>
      </c>
      <c r="N29" s="38">
        <v>0</v>
      </c>
      <c r="O29" s="38">
        <v>0</v>
      </c>
    </row>
  </sheetData>
  <mergeCells count="1">
    <mergeCell ref="A2:N2"/>
  </mergeCells>
  <phoneticPr fontId="11" type="noConversion"/>
  <hyperlinks>
    <hyperlink ref="A1" r:id="rId1"/>
    <hyperlink ref="C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XFD123"/>
  <sheetViews>
    <sheetView topLeftCell="A58" zoomScale="80" zoomScaleNormal="80" workbookViewId="0">
      <selection activeCell="M15" sqref="M15"/>
    </sheetView>
  </sheetViews>
  <sheetFormatPr defaultColWidth="11" defaultRowHeight="15.75" x14ac:dyDescent="0.25"/>
  <cols>
    <col min="1" max="1" width="40" customWidth="1"/>
    <col min="4" max="4" width="11" style="18"/>
    <col min="5" max="5" width="11" style="33"/>
    <col min="6" max="6" width="9.5" style="33" customWidth="1"/>
    <col min="7" max="7" width="11" customWidth="1"/>
  </cols>
  <sheetData>
    <row r="2" spans="1:1023 1025:2047 2049:3071 3073:4095 4097:5119 5121:6143 6145:7167 7169:8191 8193:9215 9217:10239 10241:11263 11265:12287 12289:13311 13313:14335 14337:15359 15361:16383" ht="21" x14ac:dyDescent="0.35">
      <c r="A2" s="23" t="s">
        <v>109</v>
      </c>
      <c r="B2" s="5"/>
      <c r="C2" s="5"/>
      <c r="D2" s="20"/>
      <c r="E2" s="5"/>
      <c r="F2" s="233"/>
      <c r="G2" s="233"/>
      <c r="H2" s="233"/>
      <c r="I2" s="233"/>
      <c r="J2" s="233"/>
      <c r="K2" s="5"/>
      <c r="L2" s="5"/>
      <c r="M2" s="5"/>
      <c r="N2" s="5"/>
      <c r="O2" s="5"/>
      <c r="P2" s="5"/>
      <c r="Q2" s="5"/>
      <c r="R2" s="5"/>
      <c r="S2" s="5"/>
    </row>
    <row r="3" spans="1:1023 1025:2047 2049:3071 3073:4095 4097:5119 5121:6143 6145:7167 7169:8191 8193:9215 9217:10239 10241:11263 11265:12287 12289:13311 13313:14335 14337:15359 15361:16383" s="35" customFormat="1" x14ac:dyDescent="0.25">
      <c r="A3" s="47" t="s">
        <v>272</v>
      </c>
      <c r="F3" s="26" t="s">
        <v>235</v>
      </c>
      <c r="G3" s="110" t="s">
        <v>245</v>
      </c>
      <c r="H3" s="111" t="s">
        <v>136</v>
      </c>
      <c r="I3" s="149" t="s">
        <v>271</v>
      </c>
      <c r="J3" s="220"/>
    </row>
    <row r="4" spans="1:1023 1025:2047 2049:3071 3073:4095 4097:5119 5121:6143 6145:7167 7169:8191 8193:9215 9217:10239 10241:11263 11265:12287 12289:13311 13313:14335 14337:15359 15361:16383" s="35" customFormat="1" ht="16.5" thickBot="1" x14ac:dyDescent="0.3">
      <c r="A4" s="65" t="s">
        <v>230</v>
      </c>
      <c r="B4" s="65">
        <v>270</v>
      </c>
      <c r="C4" s="65"/>
      <c r="D4" s="65"/>
      <c r="E4" s="65"/>
      <c r="F4" s="65"/>
      <c r="G4" s="65"/>
      <c r="H4" s="65"/>
      <c r="I4" s="65"/>
      <c r="J4" s="220"/>
    </row>
    <row r="5" spans="1:1023 1025:2047 2049:3071 3073:4095 4097:5119 5121:6143 6145:7167 7169:8191 8193:9215 9217:10239 10241:11263 11265:12287 12289:13311 13313:14335 14337:15359 15361:16383" s="35" customFormat="1" x14ac:dyDescent="0.25">
      <c r="A5" s="65" t="s">
        <v>284</v>
      </c>
      <c r="B5" s="65">
        <v>45</v>
      </c>
      <c r="C5" s="65"/>
      <c r="D5" s="65"/>
      <c r="E5" s="65"/>
      <c r="F5" s="65"/>
      <c r="G5" s="65"/>
      <c r="H5" s="65"/>
      <c r="I5" s="65"/>
      <c r="M5" s="160" t="s">
        <v>312</v>
      </c>
      <c r="N5" s="161"/>
      <c r="O5" s="161"/>
      <c r="P5" s="161"/>
      <c r="Q5" s="161"/>
      <c r="R5" s="161"/>
      <c r="S5" s="161"/>
      <c r="T5" s="161"/>
      <c r="U5" s="161"/>
      <c r="V5" s="161"/>
      <c r="W5" s="161"/>
      <c r="X5" s="162"/>
    </row>
    <row r="6" spans="1:1023 1025:2047 2049:3071 3073:4095 4097:5119 5121:6143 6145:7167 7169:8191 8193:9215 9217:10239 10241:11263 11265:12287 12289:13311 13313:14335 14337:15359 15361:16383" s="65" customFormat="1" x14ac:dyDescent="0.25">
      <c r="A6" s="65" t="s">
        <v>283</v>
      </c>
      <c r="B6" s="65">
        <v>720</v>
      </c>
      <c r="M6" s="164"/>
      <c r="X6" s="154"/>
    </row>
    <row r="7" spans="1:1023 1025:2047 2049:3071 3073:4095 4097:5119 5121:6143 6145:7167 7169:8191 8193:9215 9217:10239 10241:11263 11265:12287 12289:13311 13313:14335 14337:15359 15361:16383" s="65" customFormat="1" x14ac:dyDescent="0.25">
      <c r="A7" s="65" t="s">
        <v>280</v>
      </c>
      <c r="B7" s="65">
        <v>360</v>
      </c>
      <c r="M7" s="165" t="s">
        <v>333</v>
      </c>
      <c r="X7" s="154"/>
    </row>
    <row r="8" spans="1:1023 1025:2047 2049:3071 3073:4095 4097:5119 5121:6143 6145:7167 7169:8191 8193:9215 9217:10239 10241:11263 11265:12287 12289:13311 13313:14335 14337:15359 15361:16383" s="65" customFormat="1" x14ac:dyDescent="0.25">
      <c r="A8" s="65" t="s">
        <v>334</v>
      </c>
      <c r="B8" s="65">
        <v>250</v>
      </c>
      <c r="M8" s="163" t="s">
        <v>349</v>
      </c>
      <c r="X8" s="154"/>
    </row>
    <row r="9" spans="1:1023 1025:2047 2049:3071 3073:4095 4097:5119 5121:6143 6145:7167 7169:8191 8193:9215 9217:10239 10241:11263 11265:12287 12289:13311 13313:14335 14337:15359 15361:16383" s="65" customFormat="1" ht="15.75" customHeight="1" x14ac:dyDescent="0.25">
      <c r="A9" s="65" t="s">
        <v>347</v>
      </c>
      <c r="B9" s="65">
        <f>20%*250</f>
        <v>50</v>
      </c>
      <c r="D9" s="238" t="s">
        <v>350</v>
      </c>
      <c r="E9" s="238"/>
      <c r="F9" s="238"/>
      <c r="M9" s="163" t="s">
        <v>328</v>
      </c>
      <c r="X9" s="154"/>
    </row>
    <row r="10" spans="1:1023 1025:2047 2049:3071 3073:4095 4097:5119 5121:6143 6145:7167 7169:8191 8193:9215 9217:10239 10241:11263 11265:12287 12289:13311 13313:14335 14337:15359 15361:16383" s="65" customFormat="1" x14ac:dyDescent="0.25">
      <c r="A10" s="65" t="s">
        <v>348</v>
      </c>
      <c r="B10" s="115">
        <f>250-B9</f>
        <v>200</v>
      </c>
      <c r="D10" s="238"/>
      <c r="E10" s="238"/>
      <c r="F10" s="238"/>
      <c r="M10" s="163" t="s">
        <v>330</v>
      </c>
      <c r="X10" s="154"/>
    </row>
    <row r="11" spans="1:1023 1025:2047 2049:3071 3073:4095 4097:5119 5121:6143 6145:7167 7169:8191 8193:9215 9217:10239 10241:11263 11265:12287 12289:13311 13313:14335 14337:15359 15361:16383" s="65" customFormat="1" x14ac:dyDescent="0.25">
      <c r="A11" s="65" t="s">
        <v>335</v>
      </c>
      <c r="M11" s="163" t="s">
        <v>354</v>
      </c>
      <c r="X11" s="154"/>
    </row>
    <row r="12" spans="1:1023 1025:2047 2049:3071 3073:4095 4097:5119 5121:6143 6145:7167 7169:8191 8193:9215 9217:10239 10241:11263 11265:12287 12289:13311 13313:14335 14337:15359 15361:16383" s="65" customFormat="1" x14ac:dyDescent="0.25">
      <c r="M12" s="163" t="s">
        <v>332</v>
      </c>
      <c r="X12" s="154"/>
    </row>
    <row r="13" spans="1:1023 1025:2047 2049:3071 3073:4095 4097:5119 5121:6143 6145:7167 7169:8191 8193:9215 9217:10239 10241:11263 11265:12287 12289:13311 13313:14335 14337:15359 15361:16383" s="2" customFormat="1" x14ac:dyDescent="0.25">
      <c r="A13" s="47" t="s">
        <v>235</v>
      </c>
      <c r="B13" s="35"/>
      <c r="C13" s="35"/>
      <c r="D13" s="33"/>
      <c r="E13" s="35"/>
      <c r="F13" s="71" t="s">
        <v>245</v>
      </c>
      <c r="G13" s="35"/>
      <c r="H13" s="35"/>
      <c r="I13" s="35"/>
      <c r="J13" s="35"/>
      <c r="K13"/>
      <c r="M13" s="214"/>
      <c r="N13" s="213"/>
      <c r="O13" s="109"/>
      <c r="P13" s="213"/>
      <c r="Q13" s="109"/>
      <c r="R13" s="213"/>
      <c r="S13" s="109"/>
      <c r="T13" s="213"/>
      <c r="U13" s="109"/>
      <c r="V13" s="213"/>
      <c r="W13" s="109"/>
      <c r="X13" s="215"/>
      <c r="Y13"/>
      <c r="AA13"/>
      <c r="AC13"/>
      <c r="AE13"/>
      <c r="AG13"/>
      <c r="AI13"/>
      <c r="AK13"/>
      <c r="AM13"/>
      <c r="AO13"/>
      <c r="AQ13"/>
      <c r="AS13"/>
      <c r="AU13"/>
      <c r="AW13"/>
      <c r="AY13"/>
      <c r="BA13"/>
      <c r="BC13"/>
      <c r="BE13"/>
      <c r="BG13"/>
      <c r="BI13"/>
      <c r="BK13"/>
      <c r="BM13"/>
      <c r="BO13"/>
      <c r="BQ13"/>
      <c r="BS13"/>
      <c r="BU13"/>
      <c r="BW13"/>
      <c r="BY13"/>
      <c r="CA13"/>
      <c r="CC13"/>
      <c r="CE13"/>
      <c r="CG13"/>
      <c r="CI13"/>
      <c r="CK13"/>
      <c r="CM13"/>
      <c r="CO13"/>
      <c r="CQ13"/>
      <c r="CS13"/>
      <c r="CU13"/>
      <c r="CW13"/>
      <c r="CY13"/>
      <c r="DA13"/>
      <c r="DC13"/>
      <c r="DE13"/>
      <c r="DG13"/>
      <c r="DI13"/>
      <c r="DK13"/>
      <c r="DM13"/>
      <c r="DO13"/>
      <c r="DQ13"/>
      <c r="DS13"/>
      <c r="DU13"/>
      <c r="DW13"/>
      <c r="DY13"/>
      <c r="EA13"/>
      <c r="EC13"/>
      <c r="EE13"/>
      <c r="EG13"/>
      <c r="EI13"/>
      <c r="EK13"/>
      <c r="EM13"/>
      <c r="EO13"/>
      <c r="EQ13"/>
      <c r="ES13"/>
      <c r="EU13"/>
      <c r="EW13"/>
      <c r="EY13"/>
      <c r="FA13"/>
      <c r="FC13"/>
      <c r="FE13"/>
      <c r="FG13"/>
      <c r="FI13"/>
      <c r="FK13"/>
      <c r="FM13"/>
      <c r="FO13"/>
      <c r="FQ13"/>
      <c r="FS13"/>
      <c r="FU13"/>
      <c r="FW13"/>
      <c r="FY13"/>
      <c r="GA13"/>
      <c r="GC13"/>
      <c r="GE13"/>
      <c r="GG13"/>
      <c r="GI13"/>
      <c r="GK13"/>
      <c r="GM13"/>
      <c r="GO13"/>
      <c r="GQ13"/>
      <c r="GS13"/>
      <c r="GU13"/>
      <c r="GW13"/>
      <c r="GY13"/>
      <c r="HA13"/>
      <c r="HC13"/>
      <c r="HE13"/>
      <c r="HG13"/>
      <c r="HI13"/>
      <c r="HK13"/>
      <c r="HM13"/>
      <c r="HO13"/>
      <c r="HQ13"/>
      <c r="HS13"/>
      <c r="HU13"/>
      <c r="HW13"/>
      <c r="HY13"/>
      <c r="IA13"/>
      <c r="IC13"/>
      <c r="IE13"/>
      <c r="IG13"/>
      <c r="II13"/>
      <c r="IK13"/>
      <c r="IM13"/>
      <c r="IO13"/>
      <c r="IQ13"/>
      <c r="IS13"/>
      <c r="IU13"/>
      <c r="IW13"/>
      <c r="IY13"/>
      <c r="JA13"/>
      <c r="JC13"/>
      <c r="JE13"/>
      <c r="JG13"/>
      <c r="JI13"/>
      <c r="JK13"/>
      <c r="JM13"/>
      <c r="JO13"/>
      <c r="JQ13"/>
      <c r="JS13"/>
      <c r="JU13"/>
      <c r="JW13"/>
      <c r="JY13"/>
      <c r="KA13"/>
      <c r="KC13"/>
      <c r="KE13"/>
      <c r="KG13"/>
      <c r="KI13"/>
      <c r="KK13"/>
      <c r="KM13"/>
      <c r="KO13"/>
      <c r="KQ13"/>
      <c r="KS13"/>
      <c r="KU13"/>
      <c r="KW13"/>
      <c r="KY13"/>
      <c r="LA13"/>
      <c r="LC13"/>
      <c r="LE13"/>
      <c r="LG13"/>
      <c r="LI13"/>
      <c r="LK13"/>
      <c r="LM13"/>
      <c r="LO13"/>
      <c r="LQ13"/>
      <c r="LS13"/>
      <c r="LU13"/>
      <c r="LW13"/>
      <c r="LY13"/>
      <c r="MA13"/>
      <c r="MC13"/>
      <c r="ME13"/>
      <c r="MG13"/>
      <c r="MI13"/>
      <c r="MK13"/>
      <c r="MM13"/>
      <c r="MO13"/>
      <c r="MQ13"/>
      <c r="MS13"/>
      <c r="MU13"/>
      <c r="MW13"/>
      <c r="MY13"/>
      <c r="NA13"/>
      <c r="NC13"/>
      <c r="NE13"/>
      <c r="NG13"/>
      <c r="NI13"/>
      <c r="NK13"/>
      <c r="NM13"/>
      <c r="NO13"/>
      <c r="NQ13"/>
      <c r="NS13"/>
      <c r="NU13"/>
      <c r="NW13"/>
      <c r="NY13"/>
      <c r="OA13"/>
      <c r="OC13"/>
      <c r="OE13"/>
      <c r="OG13"/>
      <c r="OI13"/>
      <c r="OK13"/>
      <c r="OM13"/>
      <c r="OO13"/>
      <c r="OQ13"/>
      <c r="OS13"/>
      <c r="OU13"/>
      <c r="OW13"/>
      <c r="OY13"/>
      <c r="PA13"/>
      <c r="PC13"/>
      <c r="PE13"/>
      <c r="PG13"/>
      <c r="PI13"/>
      <c r="PK13"/>
      <c r="PM13"/>
      <c r="PO13"/>
      <c r="PQ13"/>
      <c r="PS13"/>
      <c r="PU13"/>
      <c r="PW13"/>
      <c r="PY13"/>
      <c r="QA13"/>
      <c r="QC13"/>
      <c r="QE13"/>
      <c r="QG13"/>
      <c r="QI13"/>
      <c r="QK13"/>
      <c r="QM13"/>
      <c r="QO13"/>
      <c r="QQ13"/>
      <c r="QS13"/>
      <c r="QU13"/>
      <c r="QW13"/>
      <c r="QY13"/>
      <c r="RA13"/>
      <c r="RC13"/>
      <c r="RE13"/>
      <c r="RG13"/>
      <c r="RI13"/>
      <c r="RK13"/>
      <c r="RM13"/>
      <c r="RO13"/>
      <c r="RQ13"/>
      <c r="RS13"/>
      <c r="RU13"/>
      <c r="RW13"/>
      <c r="RY13"/>
      <c r="SA13"/>
      <c r="SC13"/>
      <c r="SE13"/>
      <c r="SG13"/>
      <c r="SI13"/>
      <c r="SK13"/>
      <c r="SM13"/>
      <c r="SO13"/>
      <c r="SQ13"/>
      <c r="SS13"/>
      <c r="SU13"/>
      <c r="SW13"/>
      <c r="SY13"/>
      <c r="TA13"/>
      <c r="TC13"/>
      <c r="TE13"/>
      <c r="TG13"/>
      <c r="TI13"/>
      <c r="TK13"/>
      <c r="TM13"/>
      <c r="TO13"/>
      <c r="TQ13"/>
      <c r="TS13"/>
      <c r="TU13"/>
      <c r="TW13"/>
      <c r="TY13"/>
      <c r="UA13"/>
      <c r="UC13"/>
      <c r="UE13"/>
      <c r="UG13"/>
      <c r="UI13"/>
      <c r="UK13"/>
      <c r="UM13"/>
      <c r="UO13"/>
      <c r="UQ13"/>
      <c r="US13"/>
      <c r="UU13"/>
      <c r="UW13"/>
      <c r="UY13"/>
      <c r="VA13"/>
      <c r="VC13"/>
      <c r="VE13"/>
      <c r="VG13"/>
      <c r="VI13"/>
      <c r="VK13"/>
      <c r="VM13"/>
      <c r="VO13"/>
      <c r="VQ13"/>
      <c r="VS13"/>
      <c r="VU13"/>
      <c r="VW13"/>
      <c r="VY13"/>
      <c r="WA13"/>
      <c r="WC13"/>
      <c r="WE13"/>
      <c r="WG13"/>
      <c r="WI13"/>
      <c r="WK13"/>
      <c r="WM13"/>
      <c r="WO13"/>
      <c r="WQ13"/>
      <c r="WS13"/>
      <c r="WU13"/>
      <c r="WW13"/>
      <c r="WY13"/>
      <c r="XA13"/>
      <c r="XC13"/>
      <c r="XE13"/>
      <c r="XG13"/>
      <c r="XI13"/>
      <c r="XK13"/>
      <c r="XM13"/>
      <c r="XO13"/>
      <c r="XQ13"/>
      <c r="XS13"/>
      <c r="XU13"/>
      <c r="XW13"/>
      <c r="XY13"/>
      <c r="YA13"/>
      <c r="YC13"/>
      <c r="YE13"/>
      <c r="YG13"/>
      <c r="YI13"/>
      <c r="YK13"/>
      <c r="YM13"/>
      <c r="YO13"/>
      <c r="YQ13"/>
      <c r="YS13"/>
      <c r="YU13"/>
      <c r="YW13"/>
      <c r="YY13"/>
      <c r="ZA13"/>
      <c r="ZC13"/>
      <c r="ZE13"/>
      <c r="ZG13"/>
      <c r="ZI13"/>
      <c r="ZK13"/>
      <c r="ZM13"/>
      <c r="ZO13"/>
      <c r="ZQ13"/>
      <c r="ZS13"/>
      <c r="ZU13"/>
      <c r="ZW13"/>
      <c r="ZY13"/>
      <c r="AAA13"/>
      <c r="AAC13"/>
      <c r="AAE13"/>
      <c r="AAG13"/>
      <c r="AAI13"/>
      <c r="AAK13"/>
      <c r="AAM13"/>
      <c r="AAO13"/>
      <c r="AAQ13"/>
      <c r="AAS13"/>
      <c r="AAU13"/>
      <c r="AAW13"/>
      <c r="AAY13"/>
      <c r="ABA13"/>
      <c r="ABC13"/>
      <c r="ABE13"/>
      <c r="ABG13"/>
      <c r="ABI13"/>
      <c r="ABK13"/>
      <c r="ABM13"/>
      <c r="ABO13"/>
      <c r="ABQ13"/>
      <c r="ABS13"/>
      <c r="ABU13"/>
      <c r="ABW13"/>
      <c r="ABY13"/>
      <c r="ACA13"/>
      <c r="ACC13"/>
      <c r="ACE13"/>
      <c r="ACG13"/>
      <c r="ACI13"/>
      <c r="ACK13"/>
      <c r="ACM13"/>
      <c r="ACO13"/>
      <c r="ACQ13"/>
      <c r="ACS13"/>
      <c r="ACU13"/>
      <c r="ACW13"/>
      <c r="ACY13"/>
      <c r="ADA13"/>
      <c r="ADC13"/>
      <c r="ADE13"/>
      <c r="ADG13"/>
      <c r="ADI13"/>
      <c r="ADK13"/>
      <c r="ADM13"/>
      <c r="ADO13"/>
      <c r="ADQ13"/>
      <c r="ADS13"/>
      <c r="ADU13"/>
      <c r="ADW13"/>
      <c r="ADY13"/>
      <c r="AEA13"/>
      <c r="AEC13"/>
      <c r="AEE13"/>
      <c r="AEG13"/>
      <c r="AEI13"/>
      <c r="AEK13"/>
      <c r="AEM13"/>
      <c r="AEO13"/>
      <c r="AEQ13"/>
      <c r="AES13"/>
      <c r="AEU13"/>
      <c r="AEW13"/>
      <c r="AEY13"/>
      <c r="AFA13"/>
      <c r="AFC13"/>
      <c r="AFE13"/>
      <c r="AFG13"/>
      <c r="AFI13"/>
      <c r="AFK13"/>
      <c r="AFM13"/>
      <c r="AFO13"/>
      <c r="AFQ13"/>
      <c r="AFS13"/>
      <c r="AFU13"/>
      <c r="AFW13"/>
      <c r="AFY13"/>
      <c r="AGA13"/>
      <c r="AGC13"/>
      <c r="AGE13"/>
      <c r="AGG13"/>
      <c r="AGI13"/>
      <c r="AGK13"/>
      <c r="AGM13"/>
      <c r="AGO13"/>
      <c r="AGQ13"/>
      <c r="AGS13"/>
      <c r="AGU13"/>
      <c r="AGW13"/>
      <c r="AGY13"/>
      <c r="AHA13"/>
      <c r="AHC13"/>
      <c r="AHE13"/>
      <c r="AHG13"/>
      <c r="AHI13"/>
      <c r="AHK13"/>
      <c r="AHM13"/>
      <c r="AHO13"/>
      <c r="AHQ13"/>
      <c r="AHS13"/>
      <c r="AHU13"/>
      <c r="AHW13"/>
      <c r="AHY13"/>
      <c r="AIA13"/>
      <c r="AIC13"/>
      <c r="AIE13"/>
      <c r="AIG13"/>
      <c r="AII13"/>
      <c r="AIK13"/>
      <c r="AIM13"/>
      <c r="AIO13"/>
      <c r="AIQ13"/>
      <c r="AIS13"/>
      <c r="AIU13"/>
      <c r="AIW13"/>
      <c r="AIY13"/>
      <c r="AJA13"/>
      <c r="AJC13"/>
      <c r="AJE13"/>
      <c r="AJG13"/>
      <c r="AJI13"/>
      <c r="AJK13"/>
      <c r="AJM13"/>
      <c r="AJO13"/>
      <c r="AJQ13"/>
      <c r="AJS13"/>
      <c r="AJU13"/>
      <c r="AJW13"/>
      <c r="AJY13"/>
      <c r="AKA13"/>
      <c r="AKC13"/>
      <c r="AKE13"/>
      <c r="AKG13"/>
      <c r="AKI13"/>
      <c r="AKK13"/>
      <c r="AKM13"/>
      <c r="AKO13"/>
      <c r="AKQ13"/>
      <c r="AKS13"/>
      <c r="AKU13"/>
      <c r="AKW13"/>
      <c r="AKY13"/>
      <c r="ALA13"/>
      <c r="ALC13"/>
      <c r="ALE13"/>
      <c r="ALG13"/>
      <c r="ALI13"/>
      <c r="ALK13"/>
      <c r="ALM13"/>
      <c r="ALO13"/>
      <c r="ALQ13"/>
      <c r="ALS13"/>
      <c r="ALU13"/>
      <c r="ALW13"/>
      <c r="ALY13"/>
      <c r="AMA13"/>
      <c r="AMC13"/>
      <c r="AME13"/>
      <c r="AMG13"/>
      <c r="AMI13"/>
      <c r="AMK13"/>
      <c r="AMM13"/>
      <c r="AMO13"/>
      <c r="AMQ13"/>
      <c r="AMS13"/>
      <c r="AMU13"/>
      <c r="AMW13"/>
      <c r="AMY13"/>
      <c r="ANA13"/>
      <c r="ANC13"/>
      <c r="ANE13"/>
      <c r="ANG13"/>
      <c r="ANI13"/>
      <c r="ANK13"/>
      <c r="ANM13"/>
      <c r="ANO13"/>
      <c r="ANQ13"/>
      <c r="ANS13"/>
      <c r="ANU13"/>
      <c r="ANW13"/>
      <c r="ANY13"/>
      <c r="AOA13"/>
      <c r="AOC13"/>
      <c r="AOE13"/>
      <c r="AOG13"/>
      <c r="AOI13"/>
      <c r="AOK13"/>
      <c r="AOM13"/>
      <c r="AOO13"/>
      <c r="AOQ13"/>
      <c r="AOS13"/>
      <c r="AOU13"/>
      <c r="AOW13"/>
      <c r="AOY13"/>
      <c r="APA13"/>
      <c r="APC13"/>
      <c r="APE13"/>
      <c r="APG13"/>
      <c r="API13"/>
      <c r="APK13"/>
      <c r="APM13"/>
      <c r="APO13"/>
      <c r="APQ13"/>
      <c r="APS13"/>
      <c r="APU13"/>
      <c r="APW13"/>
      <c r="APY13"/>
      <c r="AQA13"/>
      <c r="AQC13"/>
      <c r="AQE13"/>
      <c r="AQG13"/>
      <c r="AQI13"/>
      <c r="AQK13"/>
      <c r="AQM13"/>
      <c r="AQO13"/>
      <c r="AQQ13"/>
      <c r="AQS13"/>
      <c r="AQU13"/>
      <c r="AQW13"/>
      <c r="AQY13"/>
      <c r="ARA13"/>
      <c r="ARC13"/>
      <c r="ARE13"/>
      <c r="ARG13"/>
      <c r="ARI13"/>
      <c r="ARK13"/>
      <c r="ARM13"/>
      <c r="ARO13"/>
      <c r="ARQ13"/>
      <c r="ARS13"/>
      <c r="ARU13"/>
      <c r="ARW13"/>
      <c r="ARY13"/>
      <c r="ASA13"/>
      <c r="ASC13"/>
      <c r="ASE13"/>
      <c r="ASG13"/>
      <c r="ASI13"/>
      <c r="ASK13"/>
      <c r="ASM13"/>
      <c r="ASO13"/>
      <c r="ASQ13"/>
      <c r="ASS13"/>
      <c r="ASU13"/>
      <c r="ASW13"/>
      <c r="ASY13"/>
      <c r="ATA13"/>
      <c r="ATC13"/>
      <c r="ATE13"/>
      <c r="ATG13"/>
      <c r="ATI13"/>
      <c r="ATK13"/>
      <c r="ATM13"/>
      <c r="ATO13"/>
      <c r="ATQ13"/>
      <c r="ATS13"/>
      <c r="ATU13"/>
      <c r="ATW13"/>
      <c r="ATY13"/>
      <c r="AUA13"/>
      <c r="AUC13"/>
      <c r="AUE13"/>
      <c r="AUG13"/>
      <c r="AUI13"/>
      <c r="AUK13"/>
      <c r="AUM13"/>
      <c r="AUO13"/>
      <c r="AUQ13"/>
      <c r="AUS13"/>
      <c r="AUU13"/>
      <c r="AUW13"/>
      <c r="AUY13"/>
      <c r="AVA13"/>
      <c r="AVC13"/>
      <c r="AVE13"/>
      <c r="AVG13"/>
      <c r="AVI13"/>
      <c r="AVK13"/>
      <c r="AVM13"/>
      <c r="AVO13"/>
      <c r="AVQ13"/>
      <c r="AVS13"/>
      <c r="AVU13"/>
      <c r="AVW13"/>
      <c r="AVY13"/>
      <c r="AWA13"/>
      <c r="AWC13"/>
      <c r="AWE13"/>
      <c r="AWG13"/>
      <c r="AWI13"/>
      <c r="AWK13"/>
      <c r="AWM13"/>
      <c r="AWO13"/>
      <c r="AWQ13"/>
      <c r="AWS13"/>
      <c r="AWU13"/>
      <c r="AWW13"/>
      <c r="AWY13"/>
      <c r="AXA13"/>
      <c r="AXC13"/>
      <c r="AXE13"/>
      <c r="AXG13"/>
      <c r="AXI13"/>
      <c r="AXK13"/>
      <c r="AXM13"/>
      <c r="AXO13"/>
      <c r="AXQ13"/>
      <c r="AXS13"/>
      <c r="AXU13"/>
      <c r="AXW13"/>
      <c r="AXY13"/>
      <c r="AYA13"/>
      <c r="AYC13"/>
      <c r="AYE13"/>
      <c r="AYG13"/>
      <c r="AYI13"/>
      <c r="AYK13"/>
      <c r="AYM13"/>
      <c r="AYO13"/>
      <c r="AYQ13"/>
      <c r="AYS13"/>
      <c r="AYU13"/>
      <c r="AYW13"/>
      <c r="AYY13"/>
      <c r="AZA13"/>
      <c r="AZC13"/>
      <c r="AZE13"/>
      <c r="AZG13"/>
      <c r="AZI13"/>
      <c r="AZK13"/>
      <c r="AZM13"/>
      <c r="AZO13"/>
      <c r="AZQ13"/>
      <c r="AZS13"/>
      <c r="AZU13"/>
      <c r="AZW13"/>
      <c r="AZY13"/>
      <c r="BAA13"/>
      <c r="BAC13"/>
      <c r="BAE13"/>
      <c r="BAG13"/>
      <c r="BAI13"/>
      <c r="BAK13"/>
      <c r="BAM13"/>
      <c r="BAO13"/>
      <c r="BAQ13"/>
      <c r="BAS13"/>
      <c r="BAU13"/>
      <c r="BAW13"/>
      <c r="BAY13"/>
      <c r="BBA13"/>
      <c r="BBC13"/>
      <c r="BBE13"/>
      <c r="BBG13"/>
      <c r="BBI13"/>
      <c r="BBK13"/>
      <c r="BBM13"/>
      <c r="BBO13"/>
      <c r="BBQ13"/>
      <c r="BBS13"/>
      <c r="BBU13"/>
      <c r="BBW13"/>
      <c r="BBY13"/>
      <c r="BCA13"/>
      <c r="BCC13"/>
      <c r="BCE13"/>
      <c r="BCG13"/>
      <c r="BCI13"/>
      <c r="BCK13"/>
      <c r="BCM13"/>
      <c r="BCO13"/>
      <c r="BCQ13"/>
      <c r="BCS13"/>
      <c r="BCU13"/>
      <c r="BCW13"/>
      <c r="BCY13"/>
      <c r="BDA13"/>
      <c r="BDC13"/>
      <c r="BDE13"/>
      <c r="BDG13"/>
      <c r="BDI13"/>
      <c r="BDK13"/>
      <c r="BDM13"/>
      <c r="BDO13"/>
      <c r="BDQ13"/>
      <c r="BDS13"/>
      <c r="BDU13"/>
      <c r="BDW13"/>
      <c r="BDY13"/>
      <c r="BEA13"/>
      <c r="BEC13"/>
      <c r="BEE13"/>
      <c r="BEG13"/>
      <c r="BEI13"/>
      <c r="BEK13"/>
      <c r="BEM13"/>
      <c r="BEO13"/>
      <c r="BEQ13"/>
      <c r="BES13"/>
      <c r="BEU13"/>
      <c r="BEW13"/>
      <c r="BEY13"/>
      <c r="BFA13"/>
      <c r="BFC13"/>
      <c r="BFE13"/>
      <c r="BFG13"/>
      <c r="BFI13"/>
      <c r="BFK13"/>
      <c r="BFM13"/>
      <c r="BFO13"/>
      <c r="BFQ13"/>
      <c r="BFS13"/>
      <c r="BFU13"/>
      <c r="BFW13"/>
      <c r="BFY13"/>
      <c r="BGA13"/>
      <c r="BGC13"/>
      <c r="BGE13"/>
      <c r="BGG13"/>
      <c r="BGI13"/>
      <c r="BGK13"/>
      <c r="BGM13"/>
      <c r="BGO13"/>
      <c r="BGQ13"/>
      <c r="BGS13"/>
      <c r="BGU13"/>
      <c r="BGW13"/>
      <c r="BGY13"/>
      <c r="BHA13"/>
      <c r="BHC13"/>
      <c r="BHE13"/>
      <c r="BHG13"/>
      <c r="BHI13"/>
      <c r="BHK13"/>
      <c r="BHM13"/>
      <c r="BHO13"/>
      <c r="BHQ13"/>
      <c r="BHS13"/>
      <c r="BHU13"/>
      <c r="BHW13"/>
      <c r="BHY13"/>
      <c r="BIA13"/>
      <c r="BIC13"/>
      <c r="BIE13"/>
      <c r="BIG13"/>
      <c r="BII13"/>
      <c r="BIK13"/>
      <c r="BIM13"/>
      <c r="BIO13"/>
      <c r="BIQ13"/>
      <c r="BIS13"/>
      <c r="BIU13"/>
      <c r="BIW13"/>
      <c r="BIY13"/>
      <c r="BJA13"/>
      <c r="BJC13"/>
      <c r="BJE13"/>
      <c r="BJG13"/>
      <c r="BJI13"/>
      <c r="BJK13"/>
      <c r="BJM13"/>
      <c r="BJO13"/>
      <c r="BJQ13"/>
      <c r="BJS13"/>
      <c r="BJU13"/>
      <c r="BJW13"/>
      <c r="BJY13"/>
      <c r="BKA13"/>
      <c r="BKC13"/>
      <c r="BKE13"/>
      <c r="BKG13"/>
      <c r="BKI13"/>
      <c r="BKK13"/>
      <c r="BKM13"/>
      <c r="BKO13"/>
      <c r="BKQ13"/>
      <c r="BKS13"/>
      <c r="BKU13"/>
      <c r="BKW13"/>
      <c r="BKY13"/>
      <c r="BLA13"/>
      <c r="BLC13"/>
      <c r="BLE13"/>
      <c r="BLG13"/>
      <c r="BLI13"/>
      <c r="BLK13"/>
      <c r="BLM13"/>
      <c r="BLO13"/>
      <c r="BLQ13"/>
      <c r="BLS13"/>
      <c r="BLU13"/>
      <c r="BLW13"/>
      <c r="BLY13"/>
      <c r="BMA13"/>
      <c r="BMC13"/>
      <c r="BME13"/>
      <c r="BMG13"/>
      <c r="BMI13"/>
      <c r="BMK13"/>
      <c r="BMM13"/>
      <c r="BMO13"/>
      <c r="BMQ13"/>
      <c r="BMS13"/>
      <c r="BMU13"/>
      <c r="BMW13"/>
      <c r="BMY13"/>
      <c r="BNA13"/>
      <c r="BNC13"/>
      <c r="BNE13"/>
      <c r="BNG13"/>
      <c r="BNI13"/>
      <c r="BNK13"/>
      <c r="BNM13"/>
      <c r="BNO13"/>
      <c r="BNQ13"/>
      <c r="BNS13"/>
      <c r="BNU13"/>
      <c r="BNW13"/>
      <c r="BNY13"/>
      <c r="BOA13"/>
      <c r="BOC13"/>
      <c r="BOE13"/>
      <c r="BOG13"/>
      <c r="BOI13"/>
      <c r="BOK13"/>
      <c r="BOM13"/>
      <c r="BOO13"/>
      <c r="BOQ13"/>
      <c r="BOS13"/>
      <c r="BOU13"/>
      <c r="BOW13"/>
      <c r="BOY13"/>
      <c r="BPA13"/>
      <c r="BPC13"/>
      <c r="BPE13"/>
      <c r="BPG13"/>
      <c r="BPI13"/>
      <c r="BPK13"/>
      <c r="BPM13"/>
      <c r="BPO13"/>
      <c r="BPQ13"/>
      <c r="BPS13"/>
      <c r="BPU13"/>
      <c r="BPW13"/>
      <c r="BPY13"/>
      <c r="BQA13"/>
      <c r="BQC13"/>
      <c r="BQE13"/>
      <c r="BQG13"/>
      <c r="BQI13"/>
      <c r="BQK13"/>
      <c r="BQM13"/>
      <c r="BQO13"/>
      <c r="BQQ13"/>
      <c r="BQS13"/>
      <c r="BQU13"/>
      <c r="BQW13"/>
      <c r="BQY13"/>
      <c r="BRA13"/>
      <c r="BRC13"/>
      <c r="BRE13"/>
      <c r="BRG13"/>
      <c r="BRI13"/>
      <c r="BRK13"/>
      <c r="BRM13"/>
      <c r="BRO13"/>
      <c r="BRQ13"/>
      <c r="BRS13"/>
      <c r="BRU13"/>
      <c r="BRW13"/>
      <c r="BRY13"/>
      <c r="BSA13"/>
      <c r="BSC13"/>
      <c r="BSE13"/>
      <c r="BSG13"/>
      <c r="BSI13"/>
      <c r="BSK13"/>
      <c r="BSM13"/>
      <c r="BSO13"/>
      <c r="BSQ13"/>
      <c r="BSS13"/>
      <c r="BSU13"/>
      <c r="BSW13"/>
      <c r="BSY13"/>
      <c r="BTA13"/>
      <c r="BTC13"/>
      <c r="BTE13"/>
      <c r="BTG13"/>
      <c r="BTI13"/>
      <c r="BTK13"/>
      <c r="BTM13"/>
      <c r="BTO13"/>
      <c r="BTQ13"/>
      <c r="BTS13"/>
      <c r="BTU13"/>
      <c r="BTW13"/>
      <c r="BTY13"/>
      <c r="BUA13"/>
      <c r="BUC13"/>
      <c r="BUE13"/>
      <c r="BUG13"/>
      <c r="BUI13"/>
      <c r="BUK13"/>
      <c r="BUM13"/>
      <c r="BUO13"/>
      <c r="BUQ13"/>
      <c r="BUS13"/>
      <c r="BUU13"/>
      <c r="BUW13"/>
      <c r="BUY13"/>
      <c r="BVA13"/>
      <c r="BVC13"/>
      <c r="BVE13"/>
      <c r="BVG13"/>
      <c r="BVI13"/>
      <c r="BVK13"/>
      <c r="BVM13"/>
      <c r="BVO13"/>
      <c r="BVQ13"/>
      <c r="BVS13"/>
      <c r="BVU13"/>
      <c r="BVW13"/>
      <c r="BVY13"/>
      <c r="BWA13"/>
      <c r="BWC13"/>
      <c r="BWE13"/>
      <c r="BWG13"/>
      <c r="BWI13"/>
      <c r="BWK13"/>
      <c r="BWM13"/>
      <c r="BWO13"/>
      <c r="BWQ13"/>
      <c r="BWS13"/>
      <c r="BWU13"/>
      <c r="BWW13"/>
      <c r="BWY13"/>
      <c r="BXA13"/>
      <c r="BXC13"/>
      <c r="BXE13"/>
      <c r="BXG13"/>
      <c r="BXI13"/>
      <c r="BXK13"/>
      <c r="BXM13"/>
      <c r="BXO13"/>
      <c r="BXQ13"/>
      <c r="BXS13"/>
      <c r="BXU13"/>
      <c r="BXW13"/>
      <c r="BXY13"/>
      <c r="BYA13"/>
      <c r="BYC13"/>
      <c r="BYE13"/>
      <c r="BYG13"/>
      <c r="BYI13"/>
      <c r="BYK13"/>
      <c r="BYM13"/>
      <c r="BYO13"/>
      <c r="BYQ13"/>
      <c r="BYS13"/>
      <c r="BYU13"/>
      <c r="BYW13"/>
      <c r="BYY13"/>
      <c r="BZA13"/>
      <c r="BZC13"/>
      <c r="BZE13"/>
      <c r="BZG13"/>
      <c r="BZI13"/>
      <c r="BZK13"/>
      <c r="BZM13"/>
      <c r="BZO13"/>
      <c r="BZQ13"/>
      <c r="BZS13"/>
      <c r="BZU13"/>
      <c r="BZW13"/>
      <c r="BZY13"/>
      <c r="CAA13"/>
      <c r="CAC13"/>
      <c r="CAE13"/>
      <c r="CAG13"/>
      <c r="CAI13"/>
      <c r="CAK13"/>
      <c r="CAM13"/>
      <c r="CAO13"/>
      <c r="CAQ13"/>
      <c r="CAS13"/>
      <c r="CAU13"/>
      <c r="CAW13"/>
      <c r="CAY13"/>
      <c r="CBA13"/>
      <c r="CBC13"/>
      <c r="CBE13"/>
      <c r="CBG13"/>
      <c r="CBI13"/>
      <c r="CBK13"/>
      <c r="CBM13"/>
      <c r="CBO13"/>
      <c r="CBQ13"/>
      <c r="CBS13"/>
      <c r="CBU13"/>
      <c r="CBW13"/>
      <c r="CBY13"/>
      <c r="CCA13"/>
      <c r="CCC13"/>
      <c r="CCE13"/>
      <c r="CCG13"/>
      <c r="CCI13"/>
      <c r="CCK13"/>
      <c r="CCM13"/>
      <c r="CCO13"/>
      <c r="CCQ13"/>
      <c r="CCS13"/>
      <c r="CCU13"/>
      <c r="CCW13"/>
      <c r="CCY13"/>
      <c r="CDA13"/>
      <c r="CDC13"/>
      <c r="CDE13"/>
      <c r="CDG13"/>
      <c r="CDI13"/>
      <c r="CDK13"/>
      <c r="CDM13"/>
      <c r="CDO13"/>
      <c r="CDQ13"/>
      <c r="CDS13"/>
      <c r="CDU13"/>
      <c r="CDW13"/>
      <c r="CDY13"/>
      <c r="CEA13"/>
      <c r="CEC13"/>
      <c r="CEE13"/>
      <c r="CEG13"/>
      <c r="CEI13"/>
      <c r="CEK13"/>
      <c r="CEM13"/>
      <c r="CEO13"/>
      <c r="CEQ13"/>
      <c r="CES13"/>
      <c r="CEU13"/>
      <c r="CEW13"/>
      <c r="CEY13"/>
      <c r="CFA13"/>
      <c r="CFC13"/>
      <c r="CFE13"/>
      <c r="CFG13"/>
      <c r="CFI13"/>
      <c r="CFK13"/>
      <c r="CFM13"/>
      <c r="CFO13"/>
      <c r="CFQ13"/>
      <c r="CFS13"/>
      <c r="CFU13"/>
      <c r="CFW13"/>
      <c r="CFY13"/>
      <c r="CGA13"/>
      <c r="CGC13"/>
      <c r="CGE13"/>
      <c r="CGG13"/>
      <c r="CGI13"/>
      <c r="CGK13"/>
      <c r="CGM13"/>
      <c r="CGO13"/>
      <c r="CGQ13"/>
      <c r="CGS13"/>
      <c r="CGU13"/>
      <c r="CGW13"/>
      <c r="CGY13"/>
      <c r="CHA13"/>
      <c r="CHC13"/>
      <c r="CHE13"/>
      <c r="CHG13"/>
      <c r="CHI13"/>
      <c r="CHK13"/>
      <c r="CHM13"/>
      <c r="CHO13"/>
      <c r="CHQ13"/>
      <c r="CHS13"/>
      <c r="CHU13"/>
      <c r="CHW13"/>
      <c r="CHY13"/>
      <c r="CIA13"/>
      <c r="CIC13"/>
      <c r="CIE13"/>
      <c r="CIG13"/>
      <c r="CII13"/>
      <c r="CIK13"/>
      <c r="CIM13"/>
      <c r="CIO13"/>
      <c r="CIQ13"/>
      <c r="CIS13"/>
      <c r="CIU13"/>
      <c r="CIW13"/>
      <c r="CIY13"/>
      <c r="CJA13"/>
      <c r="CJC13"/>
      <c r="CJE13"/>
      <c r="CJG13"/>
      <c r="CJI13"/>
      <c r="CJK13"/>
      <c r="CJM13"/>
      <c r="CJO13"/>
      <c r="CJQ13"/>
      <c r="CJS13"/>
      <c r="CJU13"/>
      <c r="CJW13"/>
      <c r="CJY13"/>
      <c r="CKA13"/>
      <c r="CKC13"/>
      <c r="CKE13"/>
      <c r="CKG13"/>
      <c r="CKI13"/>
      <c r="CKK13"/>
      <c r="CKM13"/>
      <c r="CKO13"/>
      <c r="CKQ13"/>
      <c r="CKS13"/>
      <c r="CKU13"/>
      <c r="CKW13"/>
      <c r="CKY13"/>
      <c r="CLA13"/>
      <c r="CLC13"/>
      <c r="CLE13"/>
      <c r="CLG13"/>
      <c r="CLI13"/>
      <c r="CLK13"/>
      <c r="CLM13"/>
      <c r="CLO13"/>
      <c r="CLQ13"/>
      <c r="CLS13"/>
      <c r="CLU13"/>
      <c r="CLW13"/>
      <c r="CLY13"/>
      <c r="CMA13"/>
      <c r="CMC13"/>
      <c r="CME13"/>
      <c r="CMG13"/>
      <c r="CMI13"/>
      <c r="CMK13"/>
      <c r="CMM13"/>
      <c r="CMO13"/>
      <c r="CMQ13"/>
      <c r="CMS13"/>
      <c r="CMU13"/>
      <c r="CMW13"/>
      <c r="CMY13"/>
      <c r="CNA13"/>
      <c r="CNC13"/>
      <c r="CNE13"/>
      <c r="CNG13"/>
      <c r="CNI13"/>
      <c r="CNK13"/>
      <c r="CNM13"/>
      <c r="CNO13"/>
      <c r="CNQ13"/>
      <c r="CNS13"/>
      <c r="CNU13"/>
      <c r="CNW13"/>
      <c r="CNY13"/>
      <c r="COA13"/>
      <c r="COC13"/>
      <c r="COE13"/>
      <c r="COG13"/>
      <c r="COI13"/>
      <c r="COK13"/>
      <c r="COM13"/>
      <c r="COO13"/>
      <c r="COQ13"/>
      <c r="COS13"/>
      <c r="COU13"/>
      <c r="COW13"/>
      <c r="COY13"/>
      <c r="CPA13"/>
      <c r="CPC13"/>
      <c r="CPE13"/>
      <c r="CPG13"/>
      <c r="CPI13"/>
      <c r="CPK13"/>
      <c r="CPM13"/>
      <c r="CPO13"/>
      <c r="CPQ13"/>
      <c r="CPS13"/>
      <c r="CPU13"/>
      <c r="CPW13"/>
      <c r="CPY13"/>
      <c r="CQA13"/>
      <c r="CQC13"/>
      <c r="CQE13"/>
      <c r="CQG13"/>
      <c r="CQI13"/>
      <c r="CQK13"/>
      <c r="CQM13"/>
      <c r="CQO13"/>
      <c r="CQQ13"/>
      <c r="CQS13"/>
      <c r="CQU13"/>
      <c r="CQW13"/>
      <c r="CQY13"/>
      <c r="CRA13"/>
      <c r="CRC13"/>
      <c r="CRE13"/>
      <c r="CRG13"/>
      <c r="CRI13"/>
      <c r="CRK13"/>
      <c r="CRM13"/>
      <c r="CRO13"/>
      <c r="CRQ13"/>
      <c r="CRS13"/>
      <c r="CRU13"/>
      <c r="CRW13"/>
      <c r="CRY13"/>
      <c r="CSA13"/>
      <c r="CSC13"/>
      <c r="CSE13"/>
      <c r="CSG13"/>
      <c r="CSI13"/>
      <c r="CSK13"/>
      <c r="CSM13"/>
      <c r="CSO13"/>
      <c r="CSQ13"/>
      <c r="CSS13"/>
      <c r="CSU13"/>
      <c r="CSW13"/>
      <c r="CSY13"/>
      <c r="CTA13"/>
      <c r="CTC13"/>
      <c r="CTE13"/>
      <c r="CTG13"/>
      <c r="CTI13"/>
      <c r="CTK13"/>
      <c r="CTM13"/>
      <c r="CTO13"/>
      <c r="CTQ13"/>
      <c r="CTS13"/>
      <c r="CTU13"/>
      <c r="CTW13"/>
      <c r="CTY13"/>
      <c r="CUA13"/>
      <c r="CUC13"/>
      <c r="CUE13"/>
      <c r="CUG13"/>
      <c r="CUI13"/>
      <c r="CUK13"/>
      <c r="CUM13"/>
      <c r="CUO13"/>
      <c r="CUQ13"/>
      <c r="CUS13"/>
      <c r="CUU13"/>
      <c r="CUW13"/>
      <c r="CUY13"/>
      <c r="CVA13"/>
      <c r="CVC13"/>
      <c r="CVE13"/>
      <c r="CVG13"/>
      <c r="CVI13"/>
      <c r="CVK13"/>
      <c r="CVM13"/>
      <c r="CVO13"/>
      <c r="CVQ13"/>
      <c r="CVS13"/>
      <c r="CVU13"/>
      <c r="CVW13"/>
      <c r="CVY13"/>
      <c r="CWA13"/>
      <c r="CWC13"/>
      <c r="CWE13"/>
      <c r="CWG13"/>
      <c r="CWI13"/>
      <c r="CWK13"/>
      <c r="CWM13"/>
      <c r="CWO13"/>
      <c r="CWQ13"/>
      <c r="CWS13"/>
      <c r="CWU13"/>
      <c r="CWW13"/>
      <c r="CWY13"/>
      <c r="CXA13"/>
      <c r="CXC13"/>
      <c r="CXE13"/>
      <c r="CXG13"/>
      <c r="CXI13"/>
      <c r="CXK13"/>
      <c r="CXM13"/>
      <c r="CXO13"/>
      <c r="CXQ13"/>
      <c r="CXS13"/>
      <c r="CXU13"/>
      <c r="CXW13"/>
      <c r="CXY13"/>
      <c r="CYA13"/>
      <c r="CYC13"/>
      <c r="CYE13"/>
      <c r="CYG13"/>
      <c r="CYI13"/>
      <c r="CYK13"/>
      <c r="CYM13"/>
      <c r="CYO13"/>
      <c r="CYQ13"/>
      <c r="CYS13"/>
      <c r="CYU13"/>
      <c r="CYW13"/>
      <c r="CYY13"/>
      <c r="CZA13"/>
      <c r="CZC13"/>
      <c r="CZE13"/>
      <c r="CZG13"/>
      <c r="CZI13"/>
      <c r="CZK13"/>
      <c r="CZM13"/>
      <c r="CZO13"/>
      <c r="CZQ13"/>
      <c r="CZS13"/>
      <c r="CZU13"/>
      <c r="CZW13"/>
      <c r="CZY13"/>
      <c r="DAA13"/>
      <c r="DAC13"/>
      <c r="DAE13"/>
      <c r="DAG13"/>
      <c r="DAI13"/>
      <c r="DAK13"/>
      <c r="DAM13"/>
      <c r="DAO13"/>
      <c r="DAQ13"/>
      <c r="DAS13"/>
      <c r="DAU13"/>
      <c r="DAW13"/>
      <c r="DAY13"/>
      <c r="DBA13"/>
      <c r="DBC13"/>
      <c r="DBE13"/>
      <c r="DBG13"/>
      <c r="DBI13"/>
      <c r="DBK13"/>
      <c r="DBM13"/>
      <c r="DBO13"/>
      <c r="DBQ13"/>
      <c r="DBS13"/>
      <c r="DBU13"/>
      <c r="DBW13"/>
      <c r="DBY13"/>
      <c r="DCA13"/>
      <c r="DCC13"/>
      <c r="DCE13"/>
      <c r="DCG13"/>
      <c r="DCI13"/>
      <c r="DCK13"/>
      <c r="DCM13"/>
      <c r="DCO13"/>
      <c r="DCQ13"/>
      <c r="DCS13"/>
      <c r="DCU13"/>
      <c r="DCW13"/>
      <c r="DCY13"/>
      <c r="DDA13"/>
      <c r="DDC13"/>
      <c r="DDE13"/>
      <c r="DDG13"/>
      <c r="DDI13"/>
      <c r="DDK13"/>
      <c r="DDM13"/>
      <c r="DDO13"/>
      <c r="DDQ13"/>
      <c r="DDS13"/>
      <c r="DDU13"/>
      <c r="DDW13"/>
      <c r="DDY13"/>
      <c r="DEA13"/>
      <c r="DEC13"/>
      <c r="DEE13"/>
      <c r="DEG13"/>
      <c r="DEI13"/>
      <c r="DEK13"/>
      <c r="DEM13"/>
      <c r="DEO13"/>
      <c r="DEQ13"/>
      <c r="DES13"/>
      <c r="DEU13"/>
      <c r="DEW13"/>
      <c r="DEY13"/>
      <c r="DFA13"/>
      <c r="DFC13"/>
      <c r="DFE13"/>
      <c r="DFG13"/>
      <c r="DFI13"/>
      <c r="DFK13"/>
      <c r="DFM13"/>
      <c r="DFO13"/>
      <c r="DFQ13"/>
      <c r="DFS13"/>
      <c r="DFU13"/>
      <c r="DFW13"/>
      <c r="DFY13"/>
      <c r="DGA13"/>
      <c r="DGC13"/>
      <c r="DGE13"/>
      <c r="DGG13"/>
      <c r="DGI13"/>
      <c r="DGK13"/>
      <c r="DGM13"/>
      <c r="DGO13"/>
      <c r="DGQ13"/>
      <c r="DGS13"/>
      <c r="DGU13"/>
      <c r="DGW13"/>
      <c r="DGY13"/>
      <c r="DHA13"/>
      <c r="DHC13"/>
      <c r="DHE13"/>
      <c r="DHG13"/>
      <c r="DHI13"/>
      <c r="DHK13"/>
      <c r="DHM13"/>
      <c r="DHO13"/>
      <c r="DHQ13"/>
      <c r="DHS13"/>
      <c r="DHU13"/>
      <c r="DHW13"/>
      <c r="DHY13"/>
      <c r="DIA13"/>
      <c r="DIC13"/>
      <c r="DIE13"/>
      <c r="DIG13"/>
      <c r="DII13"/>
      <c r="DIK13"/>
      <c r="DIM13"/>
      <c r="DIO13"/>
      <c r="DIQ13"/>
      <c r="DIS13"/>
      <c r="DIU13"/>
      <c r="DIW13"/>
      <c r="DIY13"/>
      <c r="DJA13"/>
      <c r="DJC13"/>
      <c r="DJE13"/>
      <c r="DJG13"/>
      <c r="DJI13"/>
      <c r="DJK13"/>
      <c r="DJM13"/>
      <c r="DJO13"/>
      <c r="DJQ13"/>
      <c r="DJS13"/>
      <c r="DJU13"/>
      <c r="DJW13"/>
      <c r="DJY13"/>
      <c r="DKA13"/>
      <c r="DKC13"/>
      <c r="DKE13"/>
      <c r="DKG13"/>
      <c r="DKI13"/>
      <c r="DKK13"/>
      <c r="DKM13"/>
      <c r="DKO13"/>
      <c r="DKQ13"/>
      <c r="DKS13"/>
      <c r="DKU13"/>
      <c r="DKW13"/>
      <c r="DKY13"/>
      <c r="DLA13"/>
      <c r="DLC13"/>
      <c r="DLE13"/>
      <c r="DLG13"/>
      <c r="DLI13"/>
      <c r="DLK13"/>
      <c r="DLM13"/>
      <c r="DLO13"/>
      <c r="DLQ13"/>
      <c r="DLS13"/>
      <c r="DLU13"/>
      <c r="DLW13"/>
      <c r="DLY13"/>
      <c r="DMA13"/>
      <c r="DMC13"/>
      <c r="DME13"/>
      <c r="DMG13"/>
      <c r="DMI13"/>
      <c r="DMK13"/>
      <c r="DMM13"/>
      <c r="DMO13"/>
      <c r="DMQ13"/>
      <c r="DMS13"/>
      <c r="DMU13"/>
      <c r="DMW13"/>
      <c r="DMY13"/>
      <c r="DNA13"/>
      <c r="DNC13"/>
      <c r="DNE13"/>
      <c r="DNG13"/>
      <c r="DNI13"/>
      <c r="DNK13"/>
      <c r="DNM13"/>
      <c r="DNO13"/>
      <c r="DNQ13"/>
      <c r="DNS13"/>
      <c r="DNU13"/>
      <c r="DNW13"/>
      <c r="DNY13"/>
      <c r="DOA13"/>
      <c r="DOC13"/>
      <c r="DOE13"/>
      <c r="DOG13"/>
      <c r="DOI13"/>
      <c r="DOK13"/>
      <c r="DOM13"/>
      <c r="DOO13"/>
      <c r="DOQ13"/>
      <c r="DOS13"/>
      <c r="DOU13"/>
      <c r="DOW13"/>
      <c r="DOY13"/>
      <c r="DPA13"/>
      <c r="DPC13"/>
      <c r="DPE13"/>
      <c r="DPG13"/>
      <c r="DPI13"/>
      <c r="DPK13"/>
      <c r="DPM13"/>
      <c r="DPO13"/>
      <c r="DPQ13"/>
      <c r="DPS13"/>
      <c r="DPU13"/>
      <c r="DPW13"/>
      <c r="DPY13"/>
      <c r="DQA13"/>
      <c r="DQC13"/>
      <c r="DQE13"/>
      <c r="DQG13"/>
      <c r="DQI13"/>
      <c r="DQK13"/>
      <c r="DQM13"/>
      <c r="DQO13"/>
      <c r="DQQ13"/>
      <c r="DQS13"/>
      <c r="DQU13"/>
      <c r="DQW13"/>
      <c r="DQY13"/>
      <c r="DRA13"/>
      <c r="DRC13"/>
      <c r="DRE13"/>
      <c r="DRG13"/>
      <c r="DRI13"/>
      <c r="DRK13"/>
      <c r="DRM13"/>
      <c r="DRO13"/>
      <c r="DRQ13"/>
      <c r="DRS13"/>
      <c r="DRU13"/>
      <c r="DRW13"/>
      <c r="DRY13"/>
      <c r="DSA13"/>
      <c r="DSC13"/>
      <c r="DSE13"/>
      <c r="DSG13"/>
      <c r="DSI13"/>
      <c r="DSK13"/>
      <c r="DSM13"/>
      <c r="DSO13"/>
      <c r="DSQ13"/>
      <c r="DSS13"/>
      <c r="DSU13"/>
      <c r="DSW13"/>
      <c r="DSY13"/>
      <c r="DTA13"/>
      <c r="DTC13"/>
      <c r="DTE13"/>
      <c r="DTG13"/>
      <c r="DTI13"/>
      <c r="DTK13"/>
      <c r="DTM13"/>
      <c r="DTO13"/>
      <c r="DTQ13"/>
      <c r="DTS13"/>
      <c r="DTU13"/>
      <c r="DTW13"/>
      <c r="DTY13"/>
      <c r="DUA13"/>
      <c r="DUC13"/>
      <c r="DUE13"/>
      <c r="DUG13"/>
      <c r="DUI13"/>
      <c r="DUK13"/>
      <c r="DUM13"/>
      <c r="DUO13"/>
      <c r="DUQ13"/>
      <c r="DUS13"/>
      <c r="DUU13"/>
      <c r="DUW13"/>
      <c r="DUY13"/>
      <c r="DVA13"/>
      <c r="DVC13"/>
      <c r="DVE13"/>
      <c r="DVG13"/>
      <c r="DVI13"/>
      <c r="DVK13"/>
      <c r="DVM13"/>
      <c r="DVO13"/>
      <c r="DVQ13"/>
      <c r="DVS13"/>
      <c r="DVU13"/>
      <c r="DVW13"/>
      <c r="DVY13"/>
      <c r="DWA13"/>
      <c r="DWC13"/>
      <c r="DWE13"/>
      <c r="DWG13"/>
      <c r="DWI13"/>
      <c r="DWK13"/>
      <c r="DWM13"/>
      <c r="DWO13"/>
      <c r="DWQ13"/>
      <c r="DWS13"/>
      <c r="DWU13"/>
      <c r="DWW13"/>
      <c r="DWY13"/>
      <c r="DXA13"/>
      <c r="DXC13"/>
      <c r="DXE13"/>
      <c r="DXG13"/>
      <c r="DXI13"/>
      <c r="DXK13"/>
      <c r="DXM13"/>
      <c r="DXO13"/>
      <c r="DXQ13"/>
      <c r="DXS13"/>
      <c r="DXU13"/>
      <c r="DXW13"/>
      <c r="DXY13"/>
      <c r="DYA13"/>
      <c r="DYC13"/>
      <c r="DYE13"/>
      <c r="DYG13"/>
      <c r="DYI13"/>
      <c r="DYK13"/>
      <c r="DYM13"/>
      <c r="DYO13"/>
      <c r="DYQ13"/>
      <c r="DYS13"/>
      <c r="DYU13"/>
      <c r="DYW13"/>
      <c r="DYY13"/>
      <c r="DZA13"/>
      <c r="DZC13"/>
      <c r="DZE13"/>
      <c r="DZG13"/>
      <c r="DZI13"/>
      <c r="DZK13"/>
      <c r="DZM13"/>
      <c r="DZO13"/>
      <c r="DZQ13"/>
      <c r="DZS13"/>
      <c r="DZU13"/>
      <c r="DZW13"/>
      <c r="DZY13"/>
      <c r="EAA13"/>
      <c r="EAC13"/>
      <c r="EAE13"/>
      <c r="EAG13"/>
      <c r="EAI13"/>
      <c r="EAK13"/>
      <c r="EAM13"/>
      <c r="EAO13"/>
      <c r="EAQ13"/>
      <c r="EAS13"/>
      <c r="EAU13"/>
      <c r="EAW13"/>
      <c r="EAY13"/>
      <c r="EBA13"/>
      <c r="EBC13"/>
      <c r="EBE13"/>
      <c r="EBG13"/>
      <c r="EBI13"/>
      <c r="EBK13"/>
      <c r="EBM13"/>
      <c r="EBO13"/>
      <c r="EBQ13"/>
      <c r="EBS13"/>
      <c r="EBU13"/>
      <c r="EBW13"/>
      <c r="EBY13"/>
      <c r="ECA13"/>
      <c r="ECC13"/>
      <c r="ECE13"/>
      <c r="ECG13"/>
      <c r="ECI13"/>
      <c r="ECK13"/>
      <c r="ECM13"/>
      <c r="ECO13"/>
      <c r="ECQ13"/>
      <c r="ECS13"/>
      <c r="ECU13"/>
      <c r="ECW13"/>
      <c r="ECY13"/>
      <c r="EDA13"/>
      <c r="EDC13"/>
      <c r="EDE13"/>
      <c r="EDG13"/>
      <c r="EDI13"/>
      <c r="EDK13"/>
      <c r="EDM13"/>
      <c r="EDO13"/>
      <c r="EDQ13"/>
      <c r="EDS13"/>
      <c r="EDU13"/>
      <c r="EDW13"/>
      <c r="EDY13"/>
      <c r="EEA13"/>
      <c r="EEC13"/>
      <c r="EEE13"/>
      <c r="EEG13"/>
      <c r="EEI13"/>
      <c r="EEK13"/>
      <c r="EEM13"/>
      <c r="EEO13"/>
      <c r="EEQ13"/>
      <c r="EES13"/>
      <c r="EEU13"/>
      <c r="EEW13"/>
      <c r="EEY13"/>
      <c r="EFA13"/>
      <c r="EFC13"/>
      <c r="EFE13"/>
      <c r="EFG13"/>
      <c r="EFI13"/>
      <c r="EFK13"/>
      <c r="EFM13"/>
      <c r="EFO13"/>
      <c r="EFQ13"/>
      <c r="EFS13"/>
      <c r="EFU13"/>
      <c r="EFW13"/>
      <c r="EFY13"/>
      <c r="EGA13"/>
      <c r="EGC13"/>
      <c r="EGE13"/>
      <c r="EGG13"/>
      <c r="EGI13"/>
      <c r="EGK13"/>
      <c r="EGM13"/>
      <c r="EGO13"/>
      <c r="EGQ13"/>
      <c r="EGS13"/>
      <c r="EGU13"/>
      <c r="EGW13"/>
      <c r="EGY13"/>
      <c r="EHA13"/>
      <c r="EHC13"/>
      <c r="EHE13"/>
      <c r="EHG13"/>
      <c r="EHI13"/>
      <c r="EHK13"/>
      <c r="EHM13"/>
      <c r="EHO13"/>
      <c r="EHQ13"/>
      <c r="EHS13"/>
      <c r="EHU13"/>
      <c r="EHW13"/>
      <c r="EHY13"/>
      <c r="EIA13"/>
      <c r="EIC13"/>
      <c r="EIE13"/>
      <c r="EIG13"/>
      <c r="EII13"/>
      <c r="EIK13"/>
      <c r="EIM13"/>
      <c r="EIO13"/>
      <c r="EIQ13"/>
      <c r="EIS13"/>
      <c r="EIU13"/>
      <c r="EIW13"/>
      <c r="EIY13"/>
      <c r="EJA13"/>
      <c r="EJC13"/>
      <c r="EJE13"/>
      <c r="EJG13"/>
      <c r="EJI13"/>
      <c r="EJK13"/>
      <c r="EJM13"/>
      <c r="EJO13"/>
      <c r="EJQ13"/>
      <c r="EJS13"/>
      <c r="EJU13"/>
      <c r="EJW13"/>
      <c r="EJY13"/>
      <c r="EKA13"/>
      <c r="EKC13"/>
      <c r="EKE13"/>
      <c r="EKG13"/>
      <c r="EKI13"/>
      <c r="EKK13"/>
      <c r="EKM13"/>
      <c r="EKO13"/>
      <c r="EKQ13"/>
      <c r="EKS13"/>
      <c r="EKU13"/>
      <c r="EKW13"/>
      <c r="EKY13"/>
      <c r="ELA13"/>
      <c r="ELC13"/>
      <c r="ELE13"/>
      <c r="ELG13"/>
      <c r="ELI13"/>
      <c r="ELK13"/>
      <c r="ELM13"/>
      <c r="ELO13"/>
      <c r="ELQ13"/>
      <c r="ELS13"/>
      <c r="ELU13"/>
      <c r="ELW13"/>
      <c r="ELY13"/>
      <c r="EMA13"/>
      <c r="EMC13"/>
      <c r="EME13"/>
      <c r="EMG13"/>
      <c r="EMI13"/>
      <c r="EMK13"/>
      <c r="EMM13"/>
      <c r="EMO13"/>
      <c r="EMQ13"/>
      <c r="EMS13"/>
      <c r="EMU13"/>
      <c r="EMW13"/>
      <c r="EMY13"/>
      <c r="ENA13"/>
      <c r="ENC13"/>
      <c r="ENE13"/>
      <c r="ENG13"/>
      <c r="ENI13"/>
      <c r="ENK13"/>
      <c r="ENM13"/>
      <c r="ENO13"/>
      <c r="ENQ13"/>
      <c r="ENS13"/>
      <c r="ENU13"/>
      <c r="ENW13"/>
      <c r="ENY13"/>
      <c r="EOA13"/>
      <c r="EOC13"/>
      <c r="EOE13"/>
      <c r="EOG13"/>
      <c r="EOI13"/>
      <c r="EOK13"/>
      <c r="EOM13"/>
      <c r="EOO13"/>
      <c r="EOQ13"/>
      <c r="EOS13"/>
      <c r="EOU13"/>
      <c r="EOW13"/>
      <c r="EOY13"/>
      <c r="EPA13"/>
      <c r="EPC13"/>
      <c r="EPE13"/>
      <c r="EPG13"/>
      <c r="EPI13"/>
      <c r="EPK13"/>
      <c r="EPM13"/>
      <c r="EPO13"/>
      <c r="EPQ13"/>
      <c r="EPS13"/>
      <c r="EPU13"/>
      <c r="EPW13"/>
      <c r="EPY13"/>
      <c r="EQA13"/>
      <c r="EQC13"/>
      <c r="EQE13"/>
      <c r="EQG13"/>
      <c r="EQI13"/>
      <c r="EQK13"/>
      <c r="EQM13"/>
      <c r="EQO13"/>
      <c r="EQQ13"/>
      <c r="EQS13"/>
      <c r="EQU13"/>
      <c r="EQW13"/>
      <c r="EQY13"/>
      <c r="ERA13"/>
      <c r="ERC13"/>
      <c r="ERE13"/>
      <c r="ERG13"/>
      <c r="ERI13"/>
      <c r="ERK13"/>
      <c r="ERM13"/>
      <c r="ERO13"/>
      <c r="ERQ13"/>
      <c r="ERS13"/>
      <c r="ERU13"/>
      <c r="ERW13"/>
      <c r="ERY13"/>
      <c r="ESA13"/>
      <c r="ESC13"/>
      <c r="ESE13"/>
      <c r="ESG13"/>
      <c r="ESI13"/>
      <c r="ESK13"/>
      <c r="ESM13"/>
      <c r="ESO13"/>
      <c r="ESQ13"/>
      <c r="ESS13"/>
      <c r="ESU13"/>
      <c r="ESW13"/>
      <c r="ESY13"/>
      <c r="ETA13"/>
      <c r="ETC13"/>
      <c r="ETE13"/>
      <c r="ETG13"/>
      <c r="ETI13"/>
      <c r="ETK13"/>
      <c r="ETM13"/>
      <c r="ETO13"/>
      <c r="ETQ13"/>
      <c r="ETS13"/>
      <c r="ETU13"/>
      <c r="ETW13"/>
      <c r="ETY13"/>
      <c r="EUA13"/>
      <c r="EUC13"/>
      <c r="EUE13"/>
      <c r="EUG13"/>
      <c r="EUI13"/>
      <c r="EUK13"/>
      <c r="EUM13"/>
      <c r="EUO13"/>
      <c r="EUQ13"/>
      <c r="EUS13"/>
      <c r="EUU13"/>
      <c r="EUW13"/>
      <c r="EUY13"/>
      <c r="EVA13"/>
      <c r="EVC13"/>
      <c r="EVE13"/>
      <c r="EVG13"/>
      <c r="EVI13"/>
      <c r="EVK13"/>
      <c r="EVM13"/>
      <c r="EVO13"/>
      <c r="EVQ13"/>
      <c r="EVS13"/>
      <c r="EVU13"/>
      <c r="EVW13"/>
      <c r="EVY13"/>
      <c r="EWA13"/>
      <c r="EWC13"/>
      <c r="EWE13"/>
      <c r="EWG13"/>
      <c r="EWI13"/>
      <c r="EWK13"/>
      <c r="EWM13"/>
      <c r="EWO13"/>
      <c r="EWQ13"/>
      <c r="EWS13"/>
      <c r="EWU13"/>
      <c r="EWW13"/>
      <c r="EWY13"/>
      <c r="EXA13"/>
      <c r="EXC13"/>
      <c r="EXE13"/>
      <c r="EXG13"/>
      <c r="EXI13"/>
      <c r="EXK13"/>
      <c r="EXM13"/>
      <c r="EXO13"/>
      <c r="EXQ13"/>
      <c r="EXS13"/>
      <c r="EXU13"/>
      <c r="EXW13"/>
      <c r="EXY13"/>
      <c r="EYA13"/>
      <c r="EYC13"/>
      <c r="EYE13"/>
      <c r="EYG13"/>
      <c r="EYI13"/>
      <c r="EYK13"/>
      <c r="EYM13"/>
      <c r="EYO13"/>
      <c r="EYQ13"/>
      <c r="EYS13"/>
      <c r="EYU13"/>
      <c r="EYW13"/>
      <c r="EYY13"/>
      <c r="EZA13"/>
      <c r="EZC13"/>
      <c r="EZE13"/>
      <c r="EZG13"/>
      <c r="EZI13"/>
      <c r="EZK13"/>
      <c r="EZM13"/>
      <c r="EZO13"/>
      <c r="EZQ13"/>
      <c r="EZS13"/>
      <c r="EZU13"/>
      <c r="EZW13"/>
      <c r="EZY13"/>
      <c r="FAA13"/>
      <c r="FAC13"/>
      <c r="FAE13"/>
      <c r="FAG13"/>
      <c r="FAI13"/>
      <c r="FAK13"/>
      <c r="FAM13"/>
      <c r="FAO13"/>
      <c r="FAQ13"/>
      <c r="FAS13"/>
      <c r="FAU13"/>
      <c r="FAW13"/>
      <c r="FAY13"/>
      <c r="FBA13"/>
      <c r="FBC13"/>
      <c r="FBE13"/>
      <c r="FBG13"/>
      <c r="FBI13"/>
      <c r="FBK13"/>
      <c r="FBM13"/>
      <c r="FBO13"/>
      <c r="FBQ13"/>
      <c r="FBS13"/>
      <c r="FBU13"/>
      <c r="FBW13"/>
      <c r="FBY13"/>
      <c r="FCA13"/>
      <c r="FCC13"/>
      <c r="FCE13"/>
      <c r="FCG13"/>
      <c r="FCI13"/>
      <c r="FCK13"/>
      <c r="FCM13"/>
      <c r="FCO13"/>
      <c r="FCQ13"/>
      <c r="FCS13"/>
      <c r="FCU13"/>
      <c r="FCW13"/>
      <c r="FCY13"/>
      <c r="FDA13"/>
      <c r="FDC13"/>
      <c r="FDE13"/>
      <c r="FDG13"/>
      <c r="FDI13"/>
      <c r="FDK13"/>
      <c r="FDM13"/>
      <c r="FDO13"/>
      <c r="FDQ13"/>
      <c r="FDS13"/>
      <c r="FDU13"/>
      <c r="FDW13"/>
      <c r="FDY13"/>
      <c r="FEA13"/>
      <c r="FEC13"/>
      <c r="FEE13"/>
      <c r="FEG13"/>
      <c r="FEI13"/>
      <c r="FEK13"/>
      <c r="FEM13"/>
      <c r="FEO13"/>
      <c r="FEQ13"/>
      <c r="FES13"/>
      <c r="FEU13"/>
      <c r="FEW13"/>
      <c r="FEY13"/>
      <c r="FFA13"/>
      <c r="FFC13"/>
      <c r="FFE13"/>
      <c r="FFG13"/>
      <c r="FFI13"/>
      <c r="FFK13"/>
      <c r="FFM13"/>
      <c r="FFO13"/>
      <c r="FFQ13"/>
      <c r="FFS13"/>
      <c r="FFU13"/>
      <c r="FFW13"/>
      <c r="FFY13"/>
      <c r="FGA13"/>
      <c r="FGC13"/>
      <c r="FGE13"/>
      <c r="FGG13"/>
      <c r="FGI13"/>
      <c r="FGK13"/>
      <c r="FGM13"/>
      <c r="FGO13"/>
      <c r="FGQ13"/>
      <c r="FGS13"/>
      <c r="FGU13"/>
      <c r="FGW13"/>
      <c r="FGY13"/>
      <c r="FHA13"/>
      <c r="FHC13"/>
      <c r="FHE13"/>
      <c r="FHG13"/>
      <c r="FHI13"/>
      <c r="FHK13"/>
      <c r="FHM13"/>
      <c r="FHO13"/>
      <c r="FHQ13"/>
      <c r="FHS13"/>
      <c r="FHU13"/>
      <c r="FHW13"/>
      <c r="FHY13"/>
      <c r="FIA13"/>
      <c r="FIC13"/>
      <c r="FIE13"/>
      <c r="FIG13"/>
      <c r="FII13"/>
      <c r="FIK13"/>
      <c r="FIM13"/>
      <c r="FIO13"/>
      <c r="FIQ13"/>
      <c r="FIS13"/>
      <c r="FIU13"/>
      <c r="FIW13"/>
      <c r="FIY13"/>
      <c r="FJA13"/>
      <c r="FJC13"/>
      <c r="FJE13"/>
      <c r="FJG13"/>
      <c r="FJI13"/>
      <c r="FJK13"/>
      <c r="FJM13"/>
      <c r="FJO13"/>
      <c r="FJQ13"/>
      <c r="FJS13"/>
      <c r="FJU13"/>
      <c r="FJW13"/>
      <c r="FJY13"/>
      <c r="FKA13"/>
      <c r="FKC13"/>
      <c r="FKE13"/>
      <c r="FKG13"/>
      <c r="FKI13"/>
      <c r="FKK13"/>
      <c r="FKM13"/>
      <c r="FKO13"/>
      <c r="FKQ13"/>
      <c r="FKS13"/>
      <c r="FKU13"/>
      <c r="FKW13"/>
      <c r="FKY13"/>
      <c r="FLA13"/>
      <c r="FLC13"/>
      <c r="FLE13"/>
      <c r="FLG13"/>
      <c r="FLI13"/>
      <c r="FLK13"/>
      <c r="FLM13"/>
      <c r="FLO13"/>
      <c r="FLQ13"/>
      <c r="FLS13"/>
      <c r="FLU13"/>
      <c r="FLW13"/>
      <c r="FLY13"/>
      <c r="FMA13"/>
      <c r="FMC13"/>
      <c r="FME13"/>
      <c r="FMG13"/>
      <c r="FMI13"/>
      <c r="FMK13"/>
      <c r="FMM13"/>
      <c r="FMO13"/>
      <c r="FMQ13"/>
      <c r="FMS13"/>
      <c r="FMU13"/>
      <c r="FMW13"/>
      <c r="FMY13"/>
      <c r="FNA13"/>
      <c r="FNC13"/>
      <c r="FNE13"/>
      <c r="FNG13"/>
      <c r="FNI13"/>
      <c r="FNK13"/>
      <c r="FNM13"/>
      <c r="FNO13"/>
      <c r="FNQ13"/>
      <c r="FNS13"/>
      <c r="FNU13"/>
      <c r="FNW13"/>
      <c r="FNY13"/>
      <c r="FOA13"/>
      <c r="FOC13"/>
      <c r="FOE13"/>
      <c r="FOG13"/>
      <c r="FOI13"/>
      <c r="FOK13"/>
      <c r="FOM13"/>
      <c r="FOO13"/>
      <c r="FOQ13"/>
      <c r="FOS13"/>
      <c r="FOU13"/>
      <c r="FOW13"/>
      <c r="FOY13"/>
      <c r="FPA13"/>
      <c r="FPC13"/>
      <c r="FPE13"/>
      <c r="FPG13"/>
      <c r="FPI13"/>
      <c r="FPK13"/>
      <c r="FPM13"/>
      <c r="FPO13"/>
      <c r="FPQ13"/>
      <c r="FPS13"/>
      <c r="FPU13"/>
      <c r="FPW13"/>
      <c r="FPY13"/>
      <c r="FQA13"/>
      <c r="FQC13"/>
      <c r="FQE13"/>
      <c r="FQG13"/>
      <c r="FQI13"/>
      <c r="FQK13"/>
      <c r="FQM13"/>
      <c r="FQO13"/>
      <c r="FQQ13"/>
      <c r="FQS13"/>
      <c r="FQU13"/>
      <c r="FQW13"/>
      <c r="FQY13"/>
      <c r="FRA13"/>
      <c r="FRC13"/>
      <c r="FRE13"/>
      <c r="FRG13"/>
      <c r="FRI13"/>
      <c r="FRK13"/>
      <c r="FRM13"/>
      <c r="FRO13"/>
      <c r="FRQ13"/>
      <c r="FRS13"/>
      <c r="FRU13"/>
      <c r="FRW13"/>
      <c r="FRY13"/>
      <c r="FSA13"/>
      <c r="FSC13"/>
      <c r="FSE13"/>
      <c r="FSG13"/>
      <c r="FSI13"/>
      <c r="FSK13"/>
      <c r="FSM13"/>
      <c r="FSO13"/>
      <c r="FSQ13"/>
      <c r="FSS13"/>
      <c r="FSU13"/>
      <c r="FSW13"/>
      <c r="FSY13"/>
      <c r="FTA13"/>
      <c r="FTC13"/>
      <c r="FTE13"/>
      <c r="FTG13"/>
      <c r="FTI13"/>
      <c r="FTK13"/>
      <c r="FTM13"/>
      <c r="FTO13"/>
      <c r="FTQ13"/>
      <c r="FTS13"/>
      <c r="FTU13"/>
      <c r="FTW13"/>
      <c r="FTY13"/>
      <c r="FUA13"/>
      <c r="FUC13"/>
      <c r="FUE13"/>
      <c r="FUG13"/>
      <c r="FUI13"/>
      <c r="FUK13"/>
      <c r="FUM13"/>
      <c r="FUO13"/>
      <c r="FUQ13"/>
      <c r="FUS13"/>
      <c r="FUU13"/>
      <c r="FUW13"/>
      <c r="FUY13"/>
      <c r="FVA13"/>
      <c r="FVC13"/>
      <c r="FVE13"/>
      <c r="FVG13"/>
      <c r="FVI13"/>
      <c r="FVK13"/>
      <c r="FVM13"/>
      <c r="FVO13"/>
      <c r="FVQ13"/>
      <c r="FVS13"/>
      <c r="FVU13"/>
      <c r="FVW13"/>
      <c r="FVY13"/>
      <c r="FWA13"/>
      <c r="FWC13"/>
      <c r="FWE13"/>
      <c r="FWG13"/>
      <c r="FWI13"/>
      <c r="FWK13"/>
      <c r="FWM13"/>
      <c r="FWO13"/>
      <c r="FWQ13"/>
      <c r="FWS13"/>
      <c r="FWU13"/>
      <c r="FWW13"/>
      <c r="FWY13"/>
      <c r="FXA13"/>
      <c r="FXC13"/>
      <c r="FXE13"/>
      <c r="FXG13"/>
      <c r="FXI13"/>
      <c r="FXK13"/>
      <c r="FXM13"/>
      <c r="FXO13"/>
      <c r="FXQ13"/>
      <c r="FXS13"/>
      <c r="FXU13"/>
      <c r="FXW13"/>
      <c r="FXY13"/>
      <c r="FYA13"/>
      <c r="FYC13"/>
      <c r="FYE13"/>
      <c r="FYG13"/>
      <c r="FYI13"/>
      <c r="FYK13"/>
      <c r="FYM13"/>
      <c r="FYO13"/>
      <c r="FYQ13"/>
      <c r="FYS13"/>
      <c r="FYU13"/>
      <c r="FYW13"/>
      <c r="FYY13"/>
      <c r="FZA13"/>
      <c r="FZC13"/>
      <c r="FZE13"/>
      <c r="FZG13"/>
      <c r="FZI13"/>
      <c r="FZK13"/>
      <c r="FZM13"/>
      <c r="FZO13"/>
      <c r="FZQ13"/>
      <c r="FZS13"/>
      <c r="FZU13"/>
      <c r="FZW13"/>
      <c r="FZY13"/>
      <c r="GAA13"/>
      <c r="GAC13"/>
      <c r="GAE13"/>
      <c r="GAG13"/>
      <c r="GAI13"/>
      <c r="GAK13"/>
      <c r="GAM13"/>
      <c r="GAO13"/>
      <c r="GAQ13"/>
      <c r="GAS13"/>
      <c r="GAU13"/>
      <c r="GAW13"/>
      <c r="GAY13"/>
      <c r="GBA13"/>
      <c r="GBC13"/>
      <c r="GBE13"/>
      <c r="GBG13"/>
      <c r="GBI13"/>
      <c r="GBK13"/>
      <c r="GBM13"/>
      <c r="GBO13"/>
      <c r="GBQ13"/>
      <c r="GBS13"/>
      <c r="GBU13"/>
      <c r="GBW13"/>
      <c r="GBY13"/>
      <c r="GCA13"/>
      <c r="GCC13"/>
      <c r="GCE13"/>
      <c r="GCG13"/>
      <c r="GCI13"/>
      <c r="GCK13"/>
      <c r="GCM13"/>
      <c r="GCO13"/>
      <c r="GCQ13"/>
      <c r="GCS13"/>
      <c r="GCU13"/>
      <c r="GCW13"/>
      <c r="GCY13"/>
      <c r="GDA13"/>
      <c r="GDC13"/>
      <c r="GDE13"/>
      <c r="GDG13"/>
      <c r="GDI13"/>
      <c r="GDK13"/>
      <c r="GDM13"/>
      <c r="GDO13"/>
      <c r="GDQ13"/>
      <c r="GDS13"/>
      <c r="GDU13"/>
      <c r="GDW13"/>
      <c r="GDY13"/>
      <c r="GEA13"/>
      <c r="GEC13"/>
      <c r="GEE13"/>
      <c r="GEG13"/>
      <c r="GEI13"/>
      <c r="GEK13"/>
      <c r="GEM13"/>
      <c r="GEO13"/>
      <c r="GEQ13"/>
      <c r="GES13"/>
      <c r="GEU13"/>
      <c r="GEW13"/>
      <c r="GEY13"/>
      <c r="GFA13"/>
      <c r="GFC13"/>
      <c r="GFE13"/>
      <c r="GFG13"/>
      <c r="GFI13"/>
      <c r="GFK13"/>
      <c r="GFM13"/>
      <c r="GFO13"/>
      <c r="GFQ13"/>
      <c r="GFS13"/>
      <c r="GFU13"/>
      <c r="GFW13"/>
      <c r="GFY13"/>
      <c r="GGA13"/>
      <c r="GGC13"/>
      <c r="GGE13"/>
      <c r="GGG13"/>
      <c r="GGI13"/>
      <c r="GGK13"/>
      <c r="GGM13"/>
      <c r="GGO13"/>
      <c r="GGQ13"/>
      <c r="GGS13"/>
      <c r="GGU13"/>
      <c r="GGW13"/>
      <c r="GGY13"/>
      <c r="GHA13"/>
      <c r="GHC13"/>
      <c r="GHE13"/>
      <c r="GHG13"/>
      <c r="GHI13"/>
      <c r="GHK13"/>
      <c r="GHM13"/>
      <c r="GHO13"/>
      <c r="GHQ13"/>
      <c r="GHS13"/>
      <c r="GHU13"/>
      <c r="GHW13"/>
      <c r="GHY13"/>
      <c r="GIA13"/>
      <c r="GIC13"/>
      <c r="GIE13"/>
      <c r="GIG13"/>
      <c r="GII13"/>
      <c r="GIK13"/>
      <c r="GIM13"/>
      <c r="GIO13"/>
      <c r="GIQ13"/>
      <c r="GIS13"/>
      <c r="GIU13"/>
      <c r="GIW13"/>
      <c r="GIY13"/>
      <c r="GJA13"/>
      <c r="GJC13"/>
      <c r="GJE13"/>
      <c r="GJG13"/>
      <c r="GJI13"/>
      <c r="GJK13"/>
      <c r="GJM13"/>
      <c r="GJO13"/>
      <c r="GJQ13"/>
      <c r="GJS13"/>
      <c r="GJU13"/>
      <c r="GJW13"/>
      <c r="GJY13"/>
      <c r="GKA13"/>
      <c r="GKC13"/>
      <c r="GKE13"/>
      <c r="GKG13"/>
      <c r="GKI13"/>
      <c r="GKK13"/>
      <c r="GKM13"/>
      <c r="GKO13"/>
      <c r="GKQ13"/>
      <c r="GKS13"/>
      <c r="GKU13"/>
      <c r="GKW13"/>
      <c r="GKY13"/>
      <c r="GLA13"/>
      <c r="GLC13"/>
      <c r="GLE13"/>
      <c r="GLG13"/>
      <c r="GLI13"/>
      <c r="GLK13"/>
      <c r="GLM13"/>
      <c r="GLO13"/>
      <c r="GLQ13"/>
      <c r="GLS13"/>
      <c r="GLU13"/>
      <c r="GLW13"/>
      <c r="GLY13"/>
      <c r="GMA13"/>
      <c r="GMC13"/>
      <c r="GME13"/>
      <c r="GMG13"/>
      <c r="GMI13"/>
      <c r="GMK13"/>
      <c r="GMM13"/>
      <c r="GMO13"/>
      <c r="GMQ13"/>
      <c r="GMS13"/>
      <c r="GMU13"/>
      <c r="GMW13"/>
      <c r="GMY13"/>
      <c r="GNA13"/>
      <c r="GNC13"/>
      <c r="GNE13"/>
      <c r="GNG13"/>
      <c r="GNI13"/>
      <c r="GNK13"/>
      <c r="GNM13"/>
      <c r="GNO13"/>
      <c r="GNQ13"/>
      <c r="GNS13"/>
      <c r="GNU13"/>
      <c r="GNW13"/>
      <c r="GNY13"/>
      <c r="GOA13"/>
      <c r="GOC13"/>
      <c r="GOE13"/>
      <c r="GOG13"/>
      <c r="GOI13"/>
      <c r="GOK13"/>
      <c r="GOM13"/>
      <c r="GOO13"/>
      <c r="GOQ13"/>
      <c r="GOS13"/>
      <c r="GOU13"/>
      <c r="GOW13"/>
      <c r="GOY13"/>
      <c r="GPA13"/>
      <c r="GPC13"/>
      <c r="GPE13"/>
      <c r="GPG13"/>
      <c r="GPI13"/>
      <c r="GPK13"/>
      <c r="GPM13"/>
      <c r="GPO13"/>
      <c r="GPQ13"/>
      <c r="GPS13"/>
      <c r="GPU13"/>
      <c r="GPW13"/>
      <c r="GPY13"/>
      <c r="GQA13"/>
      <c r="GQC13"/>
      <c r="GQE13"/>
      <c r="GQG13"/>
      <c r="GQI13"/>
      <c r="GQK13"/>
      <c r="GQM13"/>
      <c r="GQO13"/>
      <c r="GQQ13"/>
      <c r="GQS13"/>
      <c r="GQU13"/>
      <c r="GQW13"/>
      <c r="GQY13"/>
      <c r="GRA13"/>
      <c r="GRC13"/>
      <c r="GRE13"/>
      <c r="GRG13"/>
      <c r="GRI13"/>
      <c r="GRK13"/>
      <c r="GRM13"/>
      <c r="GRO13"/>
      <c r="GRQ13"/>
      <c r="GRS13"/>
      <c r="GRU13"/>
      <c r="GRW13"/>
      <c r="GRY13"/>
      <c r="GSA13"/>
      <c r="GSC13"/>
      <c r="GSE13"/>
      <c r="GSG13"/>
      <c r="GSI13"/>
      <c r="GSK13"/>
      <c r="GSM13"/>
      <c r="GSO13"/>
      <c r="GSQ13"/>
      <c r="GSS13"/>
      <c r="GSU13"/>
      <c r="GSW13"/>
      <c r="GSY13"/>
      <c r="GTA13"/>
      <c r="GTC13"/>
      <c r="GTE13"/>
      <c r="GTG13"/>
      <c r="GTI13"/>
      <c r="GTK13"/>
      <c r="GTM13"/>
      <c r="GTO13"/>
      <c r="GTQ13"/>
      <c r="GTS13"/>
      <c r="GTU13"/>
      <c r="GTW13"/>
      <c r="GTY13"/>
      <c r="GUA13"/>
      <c r="GUC13"/>
      <c r="GUE13"/>
      <c r="GUG13"/>
      <c r="GUI13"/>
      <c r="GUK13"/>
      <c r="GUM13"/>
      <c r="GUO13"/>
      <c r="GUQ13"/>
      <c r="GUS13"/>
      <c r="GUU13"/>
      <c r="GUW13"/>
      <c r="GUY13"/>
      <c r="GVA13"/>
      <c r="GVC13"/>
      <c r="GVE13"/>
      <c r="GVG13"/>
      <c r="GVI13"/>
      <c r="GVK13"/>
      <c r="GVM13"/>
      <c r="GVO13"/>
      <c r="GVQ13"/>
      <c r="GVS13"/>
      <c r="GVU13"/>
      <c r="GVW13"/>
      <c r="GVY13"/>
      <c r="GWA13"/>
      <c r="GWC13"/>
      <c r="GWE13"/>
      <c r="GWG13"/>
      <c r="GWI13"/>
      <c r="GWK13"/>
      <c r="GWM13"/>
      <c r="GWO13"/>
      <c r="GWQ13"/>
      <c r="GWS13"/>
      <c r="GWU13"/>
      <c r="GWW13"/>
      <c r="GWY13"/>
      <c r="GXA13"/>
      <c r="GXC13"/>
      <c r="GXE13"/>
      <c r="GXG13"/>
      <c r="GXI13"/>
      <c r="GXK13"/>
      <c r="GXM13"/>
      <c r="GXO13"/>
      <c r="GXQ13"/>
      <c r="GXS13"/>
      <c r="GXU13"/>
      <c r="GXW13"/>
      <c r="GXY13"/>
      <c r="GYA13"/>
      <c r="GYC13"/>
      <c r="GYE13"/>
      <c r="GYG13"/>
      <c r="GYI13"/>
      <c r="GYK13"/>
      <c r="GYM13"/>
      <c r="GYO13"/>
      <c r="GYQ13"/>
      <c r="GYS13"/>
      <c r="GYU13"/>
      <c r="GYW13"/>
      <c r="GYY13"/>
      <c r="GZA13"/>
      <c r="GZC13"/>
      <c r="GZE13"/>
      <c r="GZG13"/>
      <c r="GZI13"/>
      <c r="GZK13"/>
      <c r="GZM13"/>
      <c r="GZO13"/>
      <c r="GZQ13"/>
      <c r="GZS13"/>
      <c r="GZU13"/>
      <c r="GZW13"/>
      <c r="GZY13"/>
      <c r="HAA13"/>
      <c r="HAC13"/>
      <c r="HAE13"/>
      <c r="HAG13"/>
      <c r="HAI13"/>
      <c r="HAK13"/>
      <c r="HAM13"/>
      <c r="HAO13"/>
      <c r="HAQ13"/>
      <c r="HAS13"/>
      <c r="HAU13"/>
      <c r="HAW13"/>
      <c r="HAY13"/>
      <c r="HBA13"/>
      <c r="HBC13"/>
      <c r="HBE13"/>
      <c r="HBG13"/>
      <c r="HBI13"/>
      <c r="HBK13"/>
      <c r="HBM13"/>
      <c r="HBO13"/>
      <c r="HBQ13"/>
      <c r="HBS13"/>
      <c r="HBU13"/>
      <c r="HBW13"/>
      <c r="HBY13"/>
      <c r="HCA13"/>
      <c r="HCC13"/>
      <c r="HCE13"/>
      <c r="HCG13"/>
      <c r="HCI13"/>
      <c r="HCK13"/>
      <c r="HCM13"/>
      <c r="HCO13"/>
      <c r="HCQ13"/>
      <c r="HCS13"/>
      <c r="HCU13"/>
      <c r="HCW13"/>
      <c r="HCY13"/>
      <c r="HDA13"/>
      <c r="HDC13"/>
      <c r="HDE13"/>
      <c r="HDG13"/>
      <c r="HDI13"/>
      <c r="HDK13"/>
      <c r="HDM13"/>
      <c r="HDO13"/>
      <c r="HDQ13"/>
      <c r="HDS13"/>
      <c r="HDU13"/>
      <c r="HDW13"/>
      <c r="HDY13"/>
      <c r="HEA13"/>
      <c r="HEC13"/>
      <c r="HEE13"/>
      <c r="HEG13"/>
      <c r="HEI13"/>
      <c r="HEK13"/>
      <c r="HEM13"/>
      <c r="HEO13"/>
      <c r="HEQ13"/>
      <c r="HES13"/>
      <c r="HEU13"/>
      <c r="HEW13"/>
      <c r="HEY13"/>
      <c r="HFA13"/>
      <c r="HFC13"/>
      <c r="HFE13"/>
      <c r="HFG13"/>
      <c r="HFI13"/>
      <c r="HFK13"/>
      <c r="HFM13"/>
      <c r="HFO13"/>
      <c r="HFQ13"/>
      <c r="HFS13"/>
      <c r="HFU13"/>
      <c r="HFW13"/>
      <c r="HFY13"/>
      <c r="HGA13"/>
      <c r="HGC13"/>
      <c r="HGE13"/>
      <c r="HGG13"/>
      <c r="HGI13"/>
      <c r="HGK13"/>
      <c r="HGM13"/>
      <c r="HGO13"/>
      <c r="HGQ13"/>
      <c r="HGS13"/>
      <c r="HGU13"/>
      <c r="HGW13"/>
      <c r="HGY13"/>
      <c r="HHA13"/>
      <c r="HHC13"/>
      <c r="HHE13"/>
      <c r="HHG13"/>
      <c r="HHI13"/>
      <c r="HHK13"/>
      <c r="HHM13"/>
      <c r="HHO13"/>
      <c r="HHQ13"/>
      <c r="HHS13"/>
      <c r="HHU13"/>
      <c r="HHW13"/>
      <c r="HHY13"/>
      <c r="HIA13"/>
      <c r="HIC13"/>
      <c r="HIE13"/>
      <c r="HIG13"/>
      <c r="HII13"/>
      <c r="HIK13"/>
      <c r="HIM13"/>
      <c r="HIO13"/>
      <c r="HIQ13"/>
      <c r="HIS13"/>
      <c r="HIU13"/>
      <c r="HIW13"/>
      <c r="HIY13"/>
      <c r="HJA13"/>
      <c r="HJC13"/>
      <c r="HJE13"/>
      <c r="HJG13"/>
      <c r="HJI13"/>
      <c r="HJK13"/>
      <c r="HJM13"/>
      <c r="HJO13"/>
      <c r="HJQ13"/>
      <c r="HJS13"/>
      <c r="HJU13"/>
      <c r="HJW13"/>
      <c r="HJY13"/>
      <c r="HKA13"/>
      <c r="HKC13"/>
      <c r="HKE13"/>
      <c r="HKG13"/>
      <c r="HKI13"/>
      <c r="HKK13"/>
      <c r="HKM13"/>
      <c r="HKO13"/>
      <c r="HKQ13"/>
      <c r="HKS13"/>
      <c r="HKU13"/>
      <c r="HKW13"/>
      <c r="HKY13"/>
      <c r="HLA13"/>
      <c r="HLC13"/>
      <c r="HLE13"/>
      <c r="HLG13"/>
      <c r="HLI13"/>
      <c r="HLK13"/>
      <c r="HLM13"/>
      <c r="HLO13"/>
      <c r="HLQ13"/>
      <c r="HLS13"/>
      <c r="HLU13"/>
      <c r="HLW13"/>
      <c r="HLY13"/>
      <c r="HMA13"/>
      <c r="HMC13"/>
      <c r="HME13"/>
      <c r="HMG13"/>
      <c r="HMI13"/>
      <c r="HMK13"/>
      <c r="HMM13"/>
      <c r="HMO13"/>
      <c r="HMQ13"/>
      <c r="HMS13"/>
      <c r="HMU13"/>
      <c r="HMW13"/>
      <c r="HMY13"/>
      <c r="HNA13"/>
      <c r="HNC13"/>
      <c r="HNE13"/>
      <c r="HNG13"/>
      <c r="HNI13"/>
      <c r="HNK13"/>
      <c r="HNM13"/>
      <c r="HNO13"/>
      <c r="HNQ13"/>
      <c r="HNS13"/>
      <c r="HNU13"/>
      <c r="HNW13"/>
      <c r="HNY13"/>
      <c r="HOA13"/>
      <c r="HOC13"/>
      <c r="HOE13"/>
      <c r="HOG13"/>
      <c r="HOI13"/>
      <c r="HOK13"/>
      <c r="HOM13"/>
      <c r="HOO13"/>
      <c r="HOQ13"/>
      <c r="HOS13"/>
      <c r="HOU13"/>
      <c r="HOW13"/>
      <c r="HOY13"/>
      <c r="HPA13"/>
      <c r="HPC13"/>
      <c r="HPE13"/>
      <c r="HPG13"/>
      <c r="HPI13"/>
      <c r="HPK13"/>
      <c r="HPM13"/>
      <c r="HPO13"/>
      <c r="HPQ13"/>
      <c r="HPS13"/>
      <c r="HPU13"/>
      <c r="HPW13"/>
      <c r="HPY13"/>
      <c r="HQA13"/>
      <c r="HQC13"/>
      <c r="HQE13"/>
      <c r="HQG13"/>
      <c r="HQI13"/>
      <c r="HQK13"/>
      <c r="HQM13"/>
      <c r="HQO13"/>
      <c r="HQQ13"/>
      <c r="HQS13"/>
      <c r="HQU13"/>
      <c r="HQW13"/>
      <c r="HQY13"/>
      <c r="HRA13"/>
      <c r="HRC13"/>
      <c r="HRE13"/>
      <c r="HRG13"/>
      <c r="HRI13"/>
      <c r="HRK13"/>
      <c r="HRM13"/>
      <c r="HRO13"/>
      <c r="HRQ13"/>
      <c r="HRS13"/>
      <c r="HRU13"/>
      <c r="HRW13"/>
      <c r="HRY13"/>
      <c r="HSA13"/>
      <c r="HSC13"/>
      <c r="HSE13"/>
      <c r="HSG13"/>
      <c r="HSI13"/>
      <c r="HSK13"/>
      <c r="HSM13"/>
      <c r="HSO13"/>
      <c r="HSQ13"/>
      <c r="HSS13"/>
      <c r="HSU13"/>
      <c r="HSW13"/>
      <c r="HSY13"/>
      <c r="HTA13"/>
      <c r="HTC13"/>
      <c r="HTE13"/>
      <c r="HTG13"/>
      <c r="HTI13"/>
      <c r="HTK13"/>
      <c r="HTM13"/>
      <c r="HTO13"/>
      <c r="HTQ13"/>
      <c r="HTS13"/>
      <c r="HTU13"/>
      <c r="HTW13"/>
      <c r="HTY13"/>
      <c r="HUA13"/>
      <c r="HUC13"/>
      <c r="HUE13"/>
      <c r="HUG13"/>
      <c r="HUI13"/>
      <c r="HUK13"/>
      <c r="HUM13"/>
      <c r="HUO13"/>
      <c r="HUQ13"/>
      <c r="HUS13"/>
      <c r="HUU13"/>
      <c r="HUW13"/>
      <c r="HUY13"/>
      <c r="HVA13"/>
      <c r="HVC13"/>
      <c r="HVE13"/>
      <c r="HVG13"/>
      <c r="HVI13"/>
      <c r="HVK13"/>
      <c r="HVM13"/>
      <c r="HVO13"/>
      <c r="HVQ13"/>
      <c r="HVS13"/>
      <c r="HVU13"/>
      <c r="HVW13"/>
      <c r="HVY13"/>
      <c r="HWA13"/>
      <c r="HWC13"/>
      <c r="HWE13"/>
      <c r="HWG13"/>
      <c r="HWI13"/>
      <c r="HWK13"/>
      <c r="HWM13"/>
      <c r="HWO13"/>
      <c r="HWQ13"/>
      <c r="HWS13"/>
      <c r="HWU13"/>
      <c r="HWW13"/>
      <c r="HWY13"/>
      <c r="HXA13"/>
      <c r="HXC13"/>
      <c r="HXE13"/>
      <c r="HXG13"/>
      <c r="HXI13"/>
      <c r="HXK13"/>
      <c r="HXM13"/>
      <c r="HXO13"/>
      <c r="HXQ13"/>
      <c r="HXS13"/>
      <c r="HXU13"/>
      <c r="HXW13"/>
      <c r="HXY13"/>
      <c r="HYA13"/>
      <c r="HYC13"/>
      <c r="HYE13"/>
      <c r="HYG13"/>
      <c r="HYI13"/>
      <c r="HYK13"/>
      <c r="HYM13"/>
      <c r="HYO13"/>
      <c r="HYQ13"/>
      <c r="HYS13"/>
      <c r="HYU13"/>
      <c r="HYW13"/>
      <c r="HYY13"/>
      <c r="HZA13"/>
      <c r="HZC13"/>
      <c r="HZE13"/>
      <c r="HZG13"/>
      <c r="HZI13"/>
      <c r="HZK13"/>
      <c r="HZM13"/>
      <c r="HZO13"/>
      <c r="HZQ13"/>
      <c r="HZS13"/>
      <c r="HZU13"/>
      <c r="HZW13"/>
      <c r="HZY13"/>
      <c r="IAA13"/>
      <c r="IAC13"/>
      <c r="IAE13"/>
      <c r="IAG13"/>
      <c r="IAI13"/>
      <c r="IAK13"/>
      <c r="IAM13"/>
      <c r="IAO13"/>
      <c r="IAQ13"/>
      <c r="IAS13"/>
      <c r="IAU13"/>
      <c r="IAW13"/>
      <c r="IAY13"/>
      <c r="IBA13"/>
      <c r="IBC13"/>
      <c r="IBE13"/>
      <c r="IBG13"/>
      <c r="IBI13"/>
      <c r="IBK13"/>
      <c r="IBM13"/>
      <c r="IBO13"/>
      <c r="IBQ13"/>
      <c r="IBS13"/>
      <c r="IBU13"/>
      <c r="IBW13"/>
      <c r="IBY13"/>
      <c r="ICA13"/>
      <c r="ICC13"/>
      <c r="ICE13"/>
      <c r="ICG13"/>
      <c r="ICI13"/>
      <c r="ICK13"/>
      <c r="ICM13"/>
      <c r="ICO13"/>
      <c r="ICQ13"/>
      <c r="ICS13"/>
      <c r="ICU13"/>
      <c r="ICW13"/>
      <c r="ICY13"/>
      <c r="IDA13"/>
      <c r="IDC13"/>
      <c r="IDE13"/>
      <c r="IDG13"/>
      <c r="IDI13"/>
      <c r="IDK13"/>
      <c r="IDM13"/>
      <c r="IDO13"/>
      <c r="IDQ13"/>
      <c r="IDS13"/>
      <c r="IDU13"/>
      <c r="IDW13"/>
      <c r="IDY13"/>
      <c r="IEA13"/>
      <c r="IEC13"/>
      <c r="IEE13"/>
      <c r="IEG13"/>
      <c r="IEI13"/>
      <c r="IEK13"/>
      <c r="IEM13"/>
      <c r="IEO13"/>
      <c r="IEQ13"/>
      <c r="IES13"/>
      <c r="IEU13"/>
      <c r="IEW13"/>
      <c r="IEY13"/>
      <c r="IFA13"/>
      <c r="IFC13"/>
      <c r="IFE13"/>
      <c r="IFG13"/>
      <c r="IFI13"/>
      <c r="IFK13"/>
      <c r="IFM13"/>
      <c r="IFO13"/>
      <c r="IFQ13"/>
      <c r="IFS13"/>
      <c r="IFU13"/>
      <c r="IFW13"/>
      <c r="IFY13"/>
      <c r="IGA13"/>
      <c r="IGC13"/>
      <c r="IGE13"/>
      <c r="IGG13"/>
      <c r="IGI13"/>
      <c r="IGK13"/>
      <c r="IGM13"/>
      <c r="IGO13"/>
      <c r="IGQ13"/>
      <c r="IGS13"/>
      <c r="IGU13"/>
      <c r="IGW13"/>
      <c r="IGY13"/>
      <c r="IHA13"/>
      <c r="IHC13"/>
      <c r="IHE13"/>
      <c r="IHG13"/>
      <c r="IHI13"/>
      <c r="IHK13"/>
      <c r="IHM13"/>
      <c r="IHO13"/>
      <c r="IHQ13"/>
      <c r="IHS13"/>
      <c r="IHU13"/>
      <c r="IHW13"/>
      <c r="IHY13"/>
      <c r="IIA13"/>
      <c r="IIC13"/>
      <c r="IIE13"/>
      <c r="IIG13"/>
      <c r="III13"/>
      <c r="IIK13"/>
      <c r="IIM13"/>
      <c r="IIO13"/>
      <c r="IIQ13"/>
      <c r="IIS13"/>
      <c r="IIU13"/>
      <c r="IIW13"/>
      <c r="IIY13"/>
      <c r="IJA13"/>
      <c r="IJC13"/>
      <c r="IJE13"/>
      <c r="IJG13"/>
      <c r="IJI13"/>
      <c r="IJK13"/>
      <c r="IJM13"/>
      <c r="IJO13"/>
      <c r="IJQ13"/>
      <c r="IJS13"/>
      <c r="IJU13"/>
      <c r="IJW13"/>
      <c r="IJY13"/>
      <c r="IKA13"/>
      <c r="IKC13"/>
      <c r="IKE13"/>
      <c r="IKG13"/>
      <c r="IKI13"/>
      <c r="IKK13"/>
      <c r="IKM13"/>
      <c r="IKO13"/>
      <c r="IKQ13"/>
      <c r="IKS13"/>
      <c r="IKU13"/>
      <c r="IKW13"/>
      <c r="IKY13"/>
      <c r="ILA13"/>
      <c r="ILC13"/>
      <c r="ILE13"/>
      <c r="ILG13"/>
      <c r="ILI13"/>
      <c r="ILK13"/>
      <c r="ILM13"/>
      <c r="ILO13"/>
      <c r="ILQ13"/>
      <c r="ILS13"/>
      <c r="ILU13"/>
      <c r="ILW13"/>
      <c r="ILY13"/>
      <c r="IMA13"/>
      <c r="IMC13"/>
      <c r="IME13"/>
      <c r="IMG13"/>
      <c r="IMI13"/>
      <c r="IMK13"/>
      <c r="IMM13"/>
      <c r="IMO13"/>
      <c r="IMQ13"/>
      <c r="IMS13"/>
      <c r="IMU13"/>
      <c r="IMW13"/>
      <c r="IMY13"/>
      <c r="INA13"/>
      <c r="INC13"/>
      <c r="INE13"/>
      <c r="ING13"/>
      <c r="INI13"/>
      <c r="INK13"/>
      <c r="INM13"/>
      <c r="INO13"/>
      <c r="INQ13"/>
      <c r="INS13"/>
      <c r="INU13"/>
      <c r="INW13"/>
      <c r="INY13"/>
      <c r="IOA13"/>
      <c r="IOC13"/>
      <c r="IOE13"/>
      <c r="IOG13"/>
      <c r="IOI13"/>
      <c r="IOK13"/>
      <c r="IOM13"/>
      <c r="IOO13"/>
      <c r="IOQ13"/>
      <c r="IOS13"/>
      <c r="IOU13"/>
      <c r="IOW13"/>
      <c r="IOY13"/>
      <c r="IPA13"/>
      <c r="IPC13"/>
      <c r="IPE13"/>
      <c r="IPG13"/>
      <c r="IPI13"/>
      <c r="IPK13"/>
      <c r="IPM13"/>
      <c r="IPO13"/>
      <c r="IPQ13"/>
      <c r="IPS13"/>
      <c r="IPU13"/>
      <c r="IPW13"/>
      <c r="IPY13"/>
      <c r="IQA13"/>
      <c r="IQC13"/>
      <c r="IQE13"/>
      <c r="IQG13"/>
      <c r="IQI13"/>
      <c r="IQK13"/>
      <c r="IQM13"/>
      <c r="IQO13"/>
      <c r="IQQ13"/>
      <c r="IQS13"/>
      <c r="IQU13"/>
      <c r="IQW13"/>
      <c r="IQY13"/>
      <c r="IRA13"/>
      <c r="IRC13"/>
      <c r="IRE13"/>
      <c r="IRG13"/>
      <c r="IRI13"/>
      <c r="IRK13"/>
      <c r="IRM13"/>
      <c r="IRO13"/>
      <c r="IRQ13"/>
      <c r="IRS13"/>
      <c r="IRU13"/>
      <c r="IRW13"/>
      <c r="IRY13"/>
      <c r="ISA13"/>
      <c r="ISC13"/>
      <c r="ISE13"/>
      <c r="ISG13"/>
      <c r="ISI13"/>
      <c r="ISK13"/>
      <c r="ISM13"/>
      <c r="ISO13"/>
      <c r="ISQ13"/>
      <c r="ISS13"/>
      <c r="ISU13"/>
      <c r="ISW13"/>
      <c r="ISY13"/>
      <c r="ITA13"/>
      <c r="ITC13"/>
      <c r="ITE13"/>
      <c r="ITG13"/>
      <c r="ITI13"/>
      <c r="ITK13"/>
      <c r="ITM13"/>
      <c r="ITO13"/>
      <c r="ITQ13"/>
      <c r="ITS13"/>
      <c r="ITU13"/>
      <c r="ITW13"/>
      <c r="ITY13"/>
      <c r="IUA13"/>
      <c r="IUC13"/>
      <c r="IUE13"/>
      <c r="IUG13"/>
      <c r="IUI13"/>
      <c r="IUK13"/>
      <c r="IUM13"/>
      <c r="IUO13"/>
      <c r="IUQ13"/>
      <c r="IUS13"/>
      <c r="IUU13"/>
      <c r="IUW13"/>
      <c r="IUY13"/>
      <c r="IVA13"/>
      <c r="IVC13"/>
      <c r="IVE13"/>
      <c r="IVG13"/>
      <c r="IVI13"/>
      <c r="IVK13"/>
      <c r="IVM13"/>
      <c r="IVO13"/>
      <c r="IVQ13"/>
      <c r="IVS13"/>
      <c r="IVU13"/>
      <c r="IVW13"/>
      <c r="IVY13"/>
      <c r="IWA13"/>
      <c r="IWC13"/>
      <c r="IWE13"/>
      <c r="IWG13"/>
      <c r="IWI13"/>
      <c r="IWK13"/>
      <c r="IWM13"/>
      <c r="IWO13"/>
      <c r="IWQ13"/>
      <c r="IWS13"/>
      <c r="IWU13"/>
      <c r="IWW13"/>
      <c r="IWY13"/>
      <c r="IXA13"/>
      <c r="IXC13"/>
      <c r="IXE13"/>
      <c r="IXG13"/>
      <c r="IXI13"/>
      <c r="IXK13"/>
      <c r="IXM13"/>
      <c r="IXO13"/>
      <c r="IXQ13"/>
      <c r="IXS13"/>
      <c r="IXU13"/>
      <c r="IXW13"/>
      <c r="IXY13"/>
      <c r="IYA13"/>
      <c r="IYC13"/>
      <c r="IYE13"/>
      <c r="IYG13"/>
      <c r="IYI13"/>
      <c r="IYK13"/>
      <c r="IYM13"/>
      <c r="IYO13"/>
      <c r="IYQ13"/>
      <c r="IYS13"/>
      <c r="IYU13"/>
      <c r="IYW13"/>
      <c r="IYY13"/>
      <c r="IZA13"/>
      <c r="IZC13"/>
      <c r="IZE13"/>
      <c r="IZG13"/>
      <c r="IZI13"/>
      <c r="IZK13"/>
      <c r="IZM13"/>
      <c r="IZO13"/>
      <c r="IZQ13"/>
      <c r="IZS13"/>
      <c r="IZU13"/>
      <c r="IZW13"/>
      <c r="IZY13"/>
      <c r="JAA13"/>
      <c r="JAC13"/>
      <c r="JAE13"/>
      <c r="JAG13"/>
      <c r="JAI13"/>
      <c r="JAK13"/>
      <c r="JAM13"/>
      <c r="JAO13"/>
      <c r="JAQ13"/>
      <c r="JAS13"/>
      <c r="JAU13"/>
      <c r="JAW13"/>
      <c r="JAY13"/>
      <c r="JBA13"/>
      <c r="JBC13"/>
      <c r="JBE13"/>
      <c r="JBG13"/>
      <c r="JBI13"/>
      <c r="JBK13"/>
      <c r="JBM13"/>
      <c r="JBO13"/>
      <c r="JBQ13"/>
      <c r="JBS13"/>
      <c r="JBU13"/>
      <c r="JBW13"/>
      <c r="JBY13"/>
      <c r="JCA13"/>
      <c r="JCC13"/>
      <c r="JCE13"/>
      <c r="JCG13"/>
      <c r="JCI13"/>
      <c r="JCK13"/>
      <c r="JCM13"/>
      <c r="JCO13"/>
      <c r="JCQ13"/>
      <c r="JCS13"/>
      <c r="JCU13"/>
      <c r="JCW13"/>
      <c r="JCY13"/>
      <c r="JDA13"/>
      <c r="JDC13"/>
      <c r="JDE13"/>
      <c r="JDG13"/>
      <c r="JDI13"/>
      <c r="JDK13"/>
      <c r="JDM13"/>
      <c r="JDO13"/>
      <c r="JDQ13"/>
      <c r="JDS13"/>
      <c r="JDU13"/>
      <c r="JDW13"/>
      <c r="JDY13"/>
      <c r="JEA13"/>
      <c r="JEC13"/>
      <c r="JEE13"/>
      <c r="JEG13"/>
      <c r="JEI13"/>
      <c r="JEK13"/>
      <c r="JEM13"/>
      <c r="JEO13"/>
      <c r="JEQ13"/>
      <c r="JES13"/>
      <c r="JEU13"/>
      <c r="JEW13"/>
      <c r="JEY13"/>
      <c r="JFA13"/>
      <c r="JFC13"/>
      <c r="JFE13"/>
      <c r="JFG13"/>
      <c r="JFI13"/>
      <c r="JFK13"/>
      <c r="JFM13"/>
      <c r="JFO13"/>
      <c r="JFQ13"/>
      <c r="JFS13"/>
      <c r="JFU13"/>
      <c r="JFW13"/>
      <c r="JFY13"/>
      <c r="JGA13"/>
      <c r="JGC13"/>
      <c r="JGE13"/>
      <c r="JGG13"/>
      <c r="JGI13"/>
      <c r="JGK13"/>
      <c r="JGM13"/>
      <c r="JGO13"/>
      <c r="JGQ13"/>
      <c r="JGS13"/>
      <c r="JGU13"/>
      <c r="JGW13"/>
      <c r="JGY13"/>
      <c r="JHA13"/>
      <c r="JHC13"/>
      <c r="JHE13"/>
      <c r="JHG13"/>
      <c r="JHI13"/>
      <c r="JHK13"/>
      <c r="JHM13"/>
      <c r="JHO13"/>
      <c r="JHQ13"/>
      <c r="JHS13"/>
      <c r="JHU13"/>
      <c r="JHW13"/>
      <c r="JHY13"/>
      <c r="JIA13"/>
      <c r="JIC13"/>
      <c r="JIE13"/>
      <c r="JIG13"/>
      <c r="JII13"/>
      <c r="JIK13"/>
      <c r="JIM13"/>
      <c r="JIO13"/>
      <c r="JIQ13"/>
      <c r="JIS13"/>
      <c r="JIU13"/>
      <c r="JIW13"/>
      <c r="JIY13"/>
      <c r="JJA13"/>
      <c r="JJC13"/>
      <c r="JJE13"/>
      <c r="JJG13"/>
      <c r="JJI13"/>
      <c r="JJK13"/>
      <c r="JJM13"/>
      <c r="JJO13"/>
      <c r="JJQ13"/>
      <c r="JJS13"/>
      <c r="JJU13"/>
      <c r="JJW13"/>
      <c r="JJY13"/>
      <c r="JKA13"/>
      <c r="JKC13"/>
      <c r="JKE13"/>
      <c r="JKG13"/>
      <c r="JKI13"/>
      <c r="JKK13"/>
      <c r="JKM13"/>
      <c r="JKO13"/>
      <c r="JKQ13"/>
      <c r="JKS13"/>
      <c r="JKU13"/>
      <c r="JKW13"/>
      <c r="JKY13"/>
      <c r="JLA13"/>
      <c r="JLC13"/>
      <c r="JLE13"/>
      <c r="JLG13"/>
      <c r="JLI13"/>
      <c r="JLK13"/>
      <c r="JLM13"/>
      <c r="JLO13"/>
      <c r="JLQ13"/>
      <c r="JLS13"/>
      <c r="JLU13"/>
      <c r="JLW13"/>
      <c r="JLY13"/>
      <c r="JMA13"/>
      <c r="JMC13"/>
      <c r="JME13"/>
      <c r="JMG13"/>
      <c r="JMI13"/>
      <c r="JMK13"/>
      <c r="JMM13"/>
      <c r="JMO13"/>
      <c r="JMQ13"/>
      <c r="JMS13"/>
      <c r="JMU13"/>
      <c r="JMW13"/>
      <c r="JMY13"/>
      <c r="JNA13"/>
      <c r="JNC13"/>
      <c r="JNE13"/>
      <c r="JNG13"/>
      <c r="JNI13"/>
      <c r="JNK13"/>
      <c r="JNM13"/>
      <c r="JNO13"/>
      <c r="JNQ13"/>
      <c r="JNS13"/>
      <c r="JNU13"/>
      <c r="JNW13"/>
      <c r="JNY13"/>
      <c r="JOA13"/>
      <c r="JOC13"/>
      <c r="JOE13"/>
      <c r="JOG13"/>
      <c r="JOI13"/>
      <c r="JOK13"/>
      <c r="JOM13"/>
      <c r="JOO13"/>
      <c r="JOQ13"/>
      <c r="JOS13"/>
      <c r="JOU13"/>
      <c r="JOW13"/>
      <c r="JOY13"/>
      <c r="JPA13"/>
      <c r="JPC13"/>
      <c r="JPE13"/>
      <c r="JPG13"/>
      <c r="JPI13"/>
      <c r="JPK13"/>
      <c r="JPM13"/>
      <c r="JPO13"/>
      <c r="JPQ13"/>
      <c r="JPS13"/>
      <c r="JPU13"/>
      <c r="JPW13"/>
      <c r="JPY13"/>
      <c r="JQA13"/>
      <c r="JQC13"/>
      <c r="JQE13"/>
      <c r="JQG13"/>
      <c r="JQI13"/>
      <c r="JQK13"/>
      <c r="JQM13"/>
      <c r="JQO13"/>
      <c r="JQQ13"/>
      <c r="JQS13"/>
      <c r="JQU13"/>
      <c r="JQW13"/>
      <c r="JQY13"/>
      <c r="JRA13"/>
      <c r="JRC13"/>
      <c r="JRE13"/>
      <c r="JRG13"/>
      <c r="JRI13"/>
      <c r="JRK13"/>
      <c r="JRM13"/>
      <c r="JRO13"/>
      <c r="JRQ13"/>
      <c r="JRS13"/>
      <c r="JRU13"/>
      <c r="JRW13"/>
      <c r="JRY13"/>
      <c r="JSA13"/>
      <c r="JSC13"/>
      <c r="JSE13"/>
      <c r="JSG13"/>
      <c r="JSI13"/>
      <c r="JSK13"/>
      <c r="JSM13"/>
      <c r="JSO13"/>
      <c r="JSQ13"/>
      <c r="JSS13"/>
      <c r="JSU13"/>
      <c r="JSW13"/>
      <c r="JSY13"/>
      <c r="JTA13"/>
      <c r="JTC13"/>
      <c r="JTE13"/>
      <c r="JTG13"/>
      <c r="JTI13"/>
      <c r="JTK13"/>
      <c r="JTM13"/>
      <c r="JTO13"/>
      <c r="JTQ13"/>
      <c r="JTS13"/>
      <c r="JTU13"/>
      <c r="JTW13"/>
      <c r="JTY13"/>
      <c r="JUA13"/>
      <c r="JUC13"/>
      <c r="JUE13"/>
      <c r="JUG13"/>
      <c r="JUI13"/>
      <c r="JUK13"/>
      <c r="JUM13"/>
      <c r="JUO13"/>
      <c r="JUQ13"/>
      <c r="JUS13"/>
      <c r="JUU13"/>
      <c r="JUW13"/>
      <c r="JUY13"/>
      <c r="JVA13"/>
      <c r="JVC13"/>
      <c r="JVE13"/>
      <c r="JVG13"/>
      <c r="JVI13"/>
      <c r="JVK13"/>
      <c r="JVM13"/>
      <c r="JVO13"/>
      <c r="JVQ13"/>
      <c r="JVS13"/>
      <c r="JVU13"/>
      <c r="JVW13"/>
      <c r="JVY13"/>
      <c r="JWA13"/>
      <c r="JWC13"/>
      <c r="JWE13"/>
      <c r="JWG13"/>
      <c r="JWI13"/>
      <c r="JWK13"/>
      <c r="JWM13"/>
      <c r="JWO13"/>
      <c r="JWQ13"/>
      <c r="JWS13"/>
      <c r="JWU13"/>
      <c r="JWW13"/>
      <c r="JWY13"/>
      <c r="JXA13"/>
      <c r="JXC13"/>
      <c r="JXE13"/>
      <c r="JXG13"/>
      <c r="JXI13"/>
      <c r="JXK13"/>
      <c r="JXM13"/>
      <c r="JXO13"/>
      <c r="JXQ13"/>
      <c r="JXS13"/>
      <c r="JXU13"/>
      <c r="JXW13"/>
      <c r="JXY13"/>
      <c r="JYA13"/>
      <c r="JYC13"/>
      <c r="JYE13"/>
      <c r="JYG13"/>
      <c r="JYI13"/>
      <c r="JYK13"/>
      <c r="JYM13"/>
      <c r="JYO13"/>
      <c r="JYQ13"/>
      <c r="JYS13"/>
      <c r="JYU13"/>
      <c r="JYW13"/>
      <c r="JYY13"/>
      <c r="JZA13"/>
      <c r="JZC13"/>
      <c r="JZE13"/>
      <c r="JZG13"/>
      <c r="JZI13"/>
      <c r="JZK13"/>
      <c r="JZM13"/>
      <c r="JZO13"/>
      <c r="JZQ13"/>
      <c r="JZS13"/>
      <c r="JZU13"/>
      <c r="JZW13"/>
      <c r="JZY13"/>
      <c r="KAA13"/>
      <c r="KAC13"/>
      <c r="KAE13"/>
      <c r="KAG13"/>
      <c r="KAI13"/>
      <c r="KAK13"/>
      <c r="KAM13"/>
      <c r="KAO13"/>
      <c r="KAQ13"/>
      <c r="KAS13"/>
      <c r="KAU13"/>
      <c r="KAW13"/>
      <c r="KAY13"/>
      <c r="KBA13"/>
      <c r="KBC13"/>
      <c r="KBE13"/>
      <c r="KBG13"/>
      <c r="KBI13"/>
      <c r="KBK13"/>
      <c r="KBM13"/>
      <c r="KBO13"/>
      <c r="KBQ13"/>
      <c r="KBS13"/>
      <c r="KBU13"/>
      <c r="KBW13"/>
      <c r="KBY13"/>
      <c r="KCA13"/>
      <c r="KCC13"/>
      <c r="KCE13"/>
      <c r="KCG13"/>
      <c r="KCI13"/>
      <c r="KCK13"/>
      <c r="KCM13"/>
      <c r="KCO13"/>
      <c r="KCQ13"/>
      <c r="KCS13"/>
      <c r="KCU13"/>
      <c r="KCW13"/>
      <c r="KCY13"/>
      <c r="KDA13"/>
      <c r="KDC13"/>
      <c r="KDE13"/>
      <c r="KDG13"/>
      <c r="KDI13"/>
      <c r="KDK13"/>
      <c r="KDM13"/>
      <c r="KDO13"/>
      <c r="KDQ13"/>
      <c r="KDS13"/>
      <c r="KDU13"/>
      <c r="KDW13"/>
      <c r="KDY13"/>
      <c r="KEA13"/>
      <c r="KEC13"/>
      <c r="KEE13"/>
      <c r="KEG13"/>
      <c r="KEI13"/>
      <c r="KEK13"/>
      <c r="KEM13"/>
      <c r="KEO13"/>
      <c r="KEQ13"/>
      <c r="KES13"/>
      <c r="KEU13"/>
      <c r="KEW13"/>
      <c r="KEY13"/>
      <c r="KFA13"/>
      <c r="KFC13"/>
      <c r="KFE13"/>
      <c r="KFG13"/>
      <c r="KFI13"/>
      <c r="KFK13"/>
      <c r="KFM13"/>
      <c r="KFO13"/>
      <c r="KFQ13"/>
      <c r="KFS13"/>
      <c r="KFU13"/>
      <c r="KFW13"/>
      <c r="KFY13"/>
      <c r="KGA13"/>
      <c r="KGC13"/>
      <c r="KGE13"/>
      <c r="KGG13"/>
      <c r="KGI13"/>
      <c r="KGK13"/>
      <c r="KGM13"/>
      <c r="KGO13"/>
      <c r="KGQ13"/>
      <c r="KGS13"/>
      <c r="KGU13"/>
      <c r="KGW13"/>
      <c r="KGY13"/>
      <c r="KHA13"/>
      <c r="KHC13"/>
      <c r="KHE13"/>
      <c r="KHG13"/>
      <c r="KHI13"/>
      <c r="KHK13"/>
      <c r="KHM13"/>
      <c r="KHO13"/>
      <c r="KHQ13"/>
      <c r="KHS13"/>
      <c r="KHU13"/>
      <c r="KHW13"/>
      <c r="KHY13"/>
      <c r="KIA13"/>
      <c r="KIC13"/>
      <c r="KIE13"/>
      <c r="KIG13"/>
      <c r="KII13"/>
      <c r="KIK13"/>
      <c r="KIM13"/>
      <c r="KIO13"/>
      <c r="KIQ13"/>
      <c r="KIS13"/>
      <c r="KIU13"/>
      <c r="KIW13"/>
      <c r="KIY13"/>
      <c r="KJA13"/>
      <c r="KJC13"/>
      <c r="KJE13"/>
      <c r="KJG13"/>
      <c r="KJI13"/>
      <c r="KJK13"/>
      <c r="KJM13"/>
      <c r="KJO13"/>
      <c r="KJQ13"/>
      <c r="KJS13"/>
      <c r="KJU13"/>
      <c r="KJW13"/>
      <c r="KJY13"/>
      <c r="KKA13"/>
      <c r="KKC13"/>
      <c r="KKE13"/>
      <c r="KKG13"/>
      <c r="KKI13"/>
      <c r="KKK13"/>
      <c r="KKM13"/>
      <c r="KKO13"/>
      <c r="KKQ13"/>
      <c r="KKS13"/>
      <c r="KKU13"/>
      <c r="KKW13"/>
      <c r="KKY13"/>
      <c r="KLA13"/>
      <c r="KLC13"/>
      <c r="KLE13"/>
      <c r="KLG13"/>
      <c r="KLI13"/>
      <c r="KLK13"/>
      <c r="KLM13"/>
      <c r="KLO13"/>
      <c r="KLQ13"/>
      <c r="KLS13"/>
      <c r="KLU13"/>
      <c r="KLW13"/>
      <c r="KLY13"/>
      <c r="KMA13"/>
      <c r="KMC13"/>
      <c r="KME13"/>
      <c r="KMG13"/>
      <c r="KMI13"/>
      <c r="KMK13"/>
      <c r="KMM13"/>
      <c r="KMO13"/>
      <c r="KMQ13"/>
      <c r="KMS13"/>
      <c r="KMU13"/>
      <c r="KMW13"/>
      <c r="KMY13"/>
      <c r="KNA13"/>
      <c r="KNC13"/>
      <c r="KNE13"/>
      <c r="KNG13"/>
      <c r="KNI13"/>
      <c r="KNK13"/>
      <c r="KNM13"/>
      <c r="KNO13"/>
      <c r="KNQ13"/>
      <c r="KNS13"/>
      <c r="KNU13"/>
      <c r="KNW13"/>
      <c r="KNY13"/>
      <c r="KOA13"/>
      <c r="KOC13"/>
      <c r="KOE13"/>
      <c r="KOG13"/>
      <c r="KOI13"/>
      <c r="KOK13"/>
      <c r="KOM13"/>
      <c r="KOO13"/>
      <c r="KOQ13"/>
      <c r="KOS13"/>
      <c r="KOU13"/>
      <c r="KOW13"/>
      <c r="KOY13"/>
      <c r="KPA13"/>
      <c r="KPC13"/>
      <c r="KPE13"/>
      <c r="KPG13"/>
      <c r="KPI13"/>
      <c r="KPK13"/>
      <c r="KPM13"/>
      <c r="KPO13"/>
      <c r="KPQ13"/>
      <c r="KPS13"/>
      <c r="KPU13"/>
      <c r="KPW13"/>
      <c r="KPY13"/>
      <c r="KQA13"/>
      <c r="KQC13"/>
      <c r="KQE13"/>
      <c r="KQG13"/>
      <c r="KQI13"/>
      <c r="KQK13"/>
      <c r="KQM13"/>
      <c r="KQO13"/>
      <c r="KQQ13"/>
      <c r="KQS13"/>
      <c r="KQU13"/>
      <c r="KQW13"/>
      <c r="KQY13"/>
      <c r="KRA13"/>
      <c r="KRC13"/>
      <c r="KRE13"/>
      <c r="KRG13"/>
      <c r="KRI13"/>
      <c r="KRK13"/>
      <c r="KRM13"/>
      <c r="KRO13"/>
      <c r="KRQ13"/>
      <c r="KRS13"/>
      <c r="KRU13"/>
      <c r="KRW13"/>
      <c r="KRY13"/>
      <c r="KSA13"/>
      <c r="KSC13"/>
      <c r="KSE13"/>
      <c r="KSG13"/>
      <c r="KSI13"/>
      <c r="KSK13"/>
      <c r="KSM13"/>
      <c r="KSO13"/>
      <c r="KSQ13"/>
      <c r="KSS13"/>
      <c r="KSU13"/>
      <c r="KSW13"/>
      <c r="KSY13"/>
      <c r="KTA13"/>
      <c r="KTC13"/>
      <c r="KTE13"/>
      <c r="KTG13"/>
      <c r="KTI13"/>
      <c r="KTK13"/>
      <c r="KTM13"/>
      <c r="KTO13"/>
      <c r="KTQ13"/>
      <c r="KTS13"/>
      <c r="KTU13"/>
      <c r="KTW13"/>
      <c r="KTY13"/>
      <c r="KUA13"/>
      <c r="KUC13"/>
      <c r="KUE13"/>
      <c r="KUG13"/>
      <c r="KUI13"/>
      <c r="KUK13"/>
      <c r="KUM13"/>
      <c r="KUO13"/>
      <c r="KUQ13"/>
      <c r="KUS13"/>
      <c r="KUU13"/>
      <c r="KUW13"/>
      <c r="KUY13"/>
      <c r="KVA13"/>
      <c r="KVC13"/>
      <c r="KVE13"/>
      <c r="KVG13"/>
      <c r="KVI13"/>
      <c r="KVK13"/>
      <c r="KVM13"/>
      <c r="KVO13"/>
      <c r="KVQ13"/>
      <c r="KVS13"/>
      <c r="KVU13"/>
      <c r="KVW13"/>
      <c r="KVY13"/>
      <c r="KWA13"/>
      <c r="KWC13"/>
      <c r="KWE13"/>
      <c r="KWG13"/>
      <c r="KWI13"/>
      <c r="KWK13"/>
      <c r="KWM13"/>
      <c r="KWO13"/>
      <c r="KWQ13"/>
      <c r="KWS13"/>
      <c r="KWU13"/>
      <c r="KWW13"/>
      <c r="KWY13"/>
      <c r="KXA13"/>
      <c r="KXC13"/>
      <c r="KXE13"/>
      <c r="KXG13"/>
      <c r="KXI13"/>
      <c r="KXK13"/>
      <c r="KXM13"/>
      <c r="KXO13"/>
      <c r="KXQ13"/>
      <c r="KXS13"/>
      <c r="KXU13"/>
      <c r="KXW13"/>
      <c r="KXY13"/>
      <c r="KYA13"/>
      <c r="KYC13"/>
      <c r="KYE13"/>
      <c r="KYG13"/>
      <c r="KYI13"/>
      <c r="KYK13"/>
      <c r="KYM13"/>
      <c r="KYO13"/>
      <c r="KYQ13"/>
      <c r="KYS13"/>
      <c r="KYU13"/>
      <c r="KYW13"/>
      <c r="KYY13"/>
      <c r="KZA13"/>
      <c r="KZC13"/>
      <c r="KZE13"/>
      <c r="KZG13"/>
      <c r="KZI13"/>
      <c r="KZK13"/>
      <c r="KZM13"/>
      <c r="KZO13"/>
      <c r="KZQ13"/>
      <c r="KZS13"/>
      <c r="KZU13"/>
      <c r="KZW13"/>
      <c r="KZY13"/>
      <c r="LAA13"/>
      <c r="LAC13"/>
      <c r="LAE13"/>
      <c r="LAG13"/>
      <c r="LAI13"/>
      <c r="LAK13"/>
      <c r="LAM13"/>
      <c r="LAO13"/>
      <c r="LAQ13"/>
      <c r="LAS13"/>
      <c r="LAU13"/>
      <c r="LAW13"/>
      <c r="LAY13"/>
      <c r="LBA13"/>
      <c r="LBC13"/>
      <c r="LBE13"/>
      <c r="LBG13"/>
      <c r="LBI13"/>
      <c r="LBK13"/>
      <c r="LBM13"/>
      <c r="LBO13"/>
      <c r="LBQ13"/>
      <c r="LBS13"/>
      <c r="LBU13"/>
      <c r="LBW13"/>
      <c r="LBY13"/>
      <c r="LCA13"/>
      <c r="LCC13"/>
      <c r="LCE13"/>
      <c r="LCG13"/>
      <c r="LCI13"/>
      <c r="LCK13"/>
      <c r="LCM13"/>
      <c r="LCO13"/>
      <c r="LCQ13"/>
      <c r="LCS13"/>
      <c r="LCU13"/>
      <c r="LCW13"/>
      <c r="LCY13"/>
      <c r="LDA13"/>
      <c r="LDC13"/>
      <c r="LDE13"/>
      <c r="LDG13"/>
      <c r="LDI13"/>
      <c r="LDK13"/>
      <c r="LDM13"/>
      <c r="LDO13"/>
      <c r="LDQ13"/>
      <c r="LDS13"/>
      <c r="LDU13"/>
      <c r="LDW13"/>
      <c r="LDY13"/>
      <c r="LEA13"/>
      <c r="LEC13"/>
      <c r="LEE13"/>
      <c r="LEG13"/>
      <c r="LEI13"/>
      <c r="LEK13"/>
      <c r="LEM13"/>
      <c r="LEO13"/>
      <c r="LEQ13"/>
      <c r="LES13"/>
      <c r="LEU13"/>
      <c r="LEW13"/>
      <c r="LEY13"/>
      <c r="LFA13"/>
      <c r="LFC13"/>
      <c r="LFE13"/>
      <c r="LFG13"/>
      <c r="LFI13"/>
      <c r="LFK13"/>
      <c r="LFM13"/>
      <c r="LFO13"/>
      <c r="LFQ13"/>
      <c r="LFS13"/>
      <c r="LFU13"/>
      <c r="LFW13"/>
      <c r="LFY13"/>
      <c r="LGA13"/>
      <c r="LGC13"/>
      <c r="LGE13"/>
      <c r="LGG13"/>
      <c r="LGI13"/>
      <c r="LGK13"/>
      <c r="LGM13"/>
      <c r="LGO13"/>
      <c r="LGQ13"/>
      <c r="LGS13"/>
      <c r="LGU13"/>
      <c r="LGW13"/>
      <c r="LGY13"/>
      <c r="LHA13"/>
      <c r="LHC13"/>
      <c r="LHE13"/>
      <c r="LHG13"/>
      <c r="LHI13"/>
      <c r="LHK13"/>
      <c r="LHM13"/>
      <c r="LHO13"/>
      <c r="LHQ13"/>
      <c r="LHS13"/>
      <c r="LHU13"/>
      <c r="LHW13"/>
      <c r="LHY13"/>
      <c r="LIA13"/>
      <c r="LIC13"/>
      <c r="LIE13"/>
      <c r="LIG13"/>
      <c r="LII13"/>
      <c r="LIK13"/>
      <c r="LIM13"/>
      <c r="LIO13"/>
      <c r="LIQ13"/>
      <c r="LIS13"/>
      <c r="LIU13"/>
      <c r="LIW13"/>
      <c r="LIY13"/>
      <c r="LJA13"/>
      <c r="LJC13"/>
      <c r="LJE13"/>
      <c r="LJG13"/>
      <c r="LJI13"/>
      <c r="LJK13"/>
      <c r="LJM13"/>
      <c r="LJO13"/>
      <c r="LJQ13"/>
      <c r="LJS13"/>
      <c r="LJU13"/>
      <c r="LJW13"/>
      <c r="LJY13"/>
      <c r="LKA13"/>
      <c r="LKC13"/>
      <c r="LKE13"/>
      <c r="LKG13"/>
      <c r="LKI13"/>
      <c r="LKK13"/>
      <c r="LKM13"/>
      <c r="LKO13"/>
      <c r="LKQ13"/>
      <c r="LKS13"/>
      <c r="LKU13"/>
      <c r="LKW13"/>
      <c r="LKY13"/>
      <c r="LLA13"/>
      <c r="LLC13"/>
      <c r="LLE13"/>
      <c r="LLG13"/>
      <c r="LLI13"/>
      <c r="LLK13"/>
      <c r="LLM13"/>
      <c r="LLO13"/>
      <c r="LLQ13"/>
      <c r="LLS13"/>
      <c r="LLU13"/>
      <c r="LLW13"/>
      <c r="LLY13"/>
      <c r="LMA13"/>
      <c r="LMC13"/>
      <c r="LME13"/>
      <c r="LMG13"/>
      <c r="LMI13"/>
      <c r="LMK13"/>
      <c r="LMM13"/>
      <c r="LMO13"/>
      <c r="LMQ13"/>
      <c r="LMS13"/>
      <c r="LMU13"/>
      <c r="LMW13"/>
      <c r="LMY13"/>
      <c r="LNA13"/>
      <c r="LNC13"/>
      <c r="LNE13"/>
      <c r="LNG13"/>
      <c r="LNI13"/>
      <c r="LNK13"/>
      <c r="LNM13"/>
      <c r="LNO13"/>
      <c r="LNQ13"/>
      <c r="LNS13"/>
      <c r="LNU13"/>
      <c r="LNW13"/>
      <c r="LNY13"/>
      <c r="LOA13"/>
      <c r="LOC13"/>
      <c r="LOE13"/>
      <c r="LOG13"/>
      <c r="LOI13"/>
      <c r="LOK13"/>
      <c r="LOM13"/>
      <c r="LOO13"/>
      <c r="LOQ13"/>
      <c r="LOS13"/>
      <c r="LOU13"/>
      <c r="LOW13"/>
      <c r="LOY13"/>
      <c r="LPA13"/>
      <c r="LPC13"/>
      <c r="LPE13"/>
      <c r="LPG13"/>
      <c r="LPI13"/>
      <c r="LPK13"/>
      <c r="LPM13"/>
      <c r="LPO13"/>
      <c r="LPQ13"/>
      <c r="LPS13"/>
      <c r="LPU13"/>
      <c r="LPW13"/>
      <c r="LPY13"/>
      <c r="LQA13"/>
      <c r="LQC13"/>
      <c r="LQE13"/>
      <c r="LQG13"/>
      <c r="LQI13"/>
      <c r="LQK13"/>
      <c r="LQM13"/>
      <c r="LQO13"/>
      <c r="LQQ13"/>
      <c r="LQS13"/>
      <c r="LQU13"/>
      <c r="LQW13"/>
      <c r="LQY13"/>
      <c r="LRA13"/>
      <c r="LRC13"/>
      <c r="LRE13"/>
      <c r="LRG13"/>
      <c r="LRI13"/>
      <c r="LRK13"/>
      <c r="LRM13"/>
      <c r="LRO13"/>
      <c r="LRQ13"/>
      <c r="LRS13"/>
      <c r="LRU13"/>
      <c r="LRW13"/>
      <c r="LRY13"/>
      <c r="LSA13"/>
      <c r="LSC13"/>
      <c r="LSE13"/>
      <c r="LSG13"/>
      <c r="LSI13"/>
      <c r="LSK13"/>
      <c r="LSM13"/>
      <c r="LSO13"/>
      <c r="LSQ13"/>
      <c r="LSS13"/>
      <c r="LSU13"/>
      <c r="LSW13"/>
      <c r="LSY13"/>
      <c r="LTA13"/>
      <c r="LTC13"/>
      <c r="LTE13"/>
      <c r="LTG13"/>
      <c r="LTI13"/>
      <c r="LTK13"/>
      <c r="LTM13"/>
      <c r="LTO13"/>
      <c r="LTQ13"/>
      <c r="LTS13"/>
      <c r="LTU13"/>
      <c r="LTW13"/>
      <c r="LTY13"/>
      <c r="LUA13"/>
      <c r="LUC13"/>
      <c r="LUE13"/>
      <c r="LUG13"/>
      <c r="LUI13"/>
      <c r="LUK13"/>
      <c r="LUM13"/>
      <c r="LUO13"/>
      <c r="LUQ13"/>
      <c r="LUS13"/>
      <c r="LUU13"/>
      <c r="LUW13"/>
      <c r="LUY13"/>
      <c r="LVA13"/>
      <c r="LVC13"/>
      <c r="LVE13"/>
      <c r="LVG13"/>
      <c r="LVI13"/>
      <c r="LVK13"/>
      <c r="LVM13"/>
      <c r="LVO13"/>
      <c r="LVQ13"/>
      <c r="LVS13"/>
      <c r="LVU13"/>
      <c r="LVW13"/>
      <c r="LVY13"/>
      <c r="LWA13"/>
      <c r="LWC13"/>
      <c r="LWE13"/>
      <c r="LWG13"/>
      <c r="LWI13"/>
      <c r="LWK13"/>
      <c r="LWM13"/>
      <c r="LWO13"/>
      <c r="LWQ13"/>
      <c r="LWS13"/>
      <c r="LWU13"/>
      <c r="LWW13"/>
      <c r="LWY13"/>
      <c r="LXA13"/>
      <c r="LXC13"/>
      <c r="LXE13"/>
      <c r="LXG13"/>
      <c r="LXI13"/>
      <c r="LXK13"/>
      <c r="LXM13"/>
      <c r="LXO13"/>
      <c r="LXQ13"/>
      <c r="LXS13"/>
      <c r="LXU13"/>
      <c r="LXW13"/>
      <c r="LXY13"/>
      <c r="LYA13"/>
      <c r="LYC13"/>
      <c r="LYE13"/>
      <c r="LYG13"/>
      <c r="LYI13"/>
      <c r="LYK13"/>
      <c r="LYM13"/>
      <c r="LYO13"/>
      <c r="LYQ13"/>
      <c r="LYS13"/>
      <c r="LYU13"/>
      <c r="LYW13"/>
      <c r="LYY13"/>
      <c r="LZA13"/>
      <c r="LZC13"/>
      <c r="LZE13"/>
      <c r="LZG13"/>
      <c r="LZI13"/>
      <c r="LZK13"/>
      <c r="LZM13"/>
      <c r="LZO13"/>
      <c r="LZQ13"/>
      <c r="LZS13"/>
      <c r="LZU13"/>
      <c r="LZW13"/>
      <c r="LZY13"/>
      <c r="MAA13"/>
      <c r="MAC13"/>
      <c r="MAE13"/>
      <c r="MAG13"/>
      <c r="MAI13"/>
      <c r="MAK13"/>
      <c r="MAM13"/>
      <c r="MAO13"/>
      <c r="MAQ13"/>
      <c r="MAS13"/>
      <c r="MAU13"/>
      <c r="MAW13"/>
      <c r="MAY13"/>
      <c r="MBA13"/>
      <c r="MBC13"/>
      <c r="MBE13"/>
      <c r="MBG13"/>
      <c r="MBI13"/>
      <c r="MBK13"/>
      <c r="MBM13"/>
      <c r="MBO13"/>
      <c r="MBQ13"/>
      <c r="MBS13"/>
      <c r="MBU13"/>
      <c r="MBW13"/>
      <c r="MBY13"/>
      <c r="MCA13"/>
      <c r="MCC13"/>
      <c r="MCE13"/>
      <c r="MCG13"/>
      <c r="MCI13"/>
      <c r="MCK13"/>
      <c r="MCM13"/>
      <c r="MCO13"/>
      <c r="MCQ13"/>
      <c r="MCS13"/>
      <c r="MCU13"/>
      <c r="MCW13"/>
      <c r="MCY13"/>
      <c r="MDA13"/>
      <c r="MDC13"/>
      <c r="MDE13"/>
      <c r="MDG13"/>
      <c r="MDI13"/>
      <c r="MDK13"/>
      <c r="MDM13"/>
      <c r="MDO13"/>
      <c r="MDQ13"/>
      <c r="MDS13"/>
      <c r="MDU13"/>
      <c r="MDW13"/>
      <c r="MDY13"/>
      <c r="MEA13"/>
      <c r="MEC13"/>
      <c r="MEE13"/>
      <c r="MEG13"/>
      <c r="MEI13"/>
      <c r="MEK13"/>
      <c r="MEM13"/>
      <c r="MEO13"/>
      <c r="MEQ13"/>
      <c r="MES13"/>
      <c r="MEU13"/>
      <c r="MEW13"/>
      <c r="MEY13"/>
      <c r="MFA13"/>
      <c r="MFC13"/>
      <c r="MFE13"/>
      <c r="MFG13"/>
      <c r="MFI13"/>
      <c r="MFK13"/>
      <c r="MFM13"/>
      <c r="MFO13"/>
      <c r="MFQ13"/>
      <c r="MFS13"/>
      <c r="MFU13"/>
      <c r="MFW13"/>
      <c r="MFY13"/>
      <c r="MGA13"/>
      <c r="MGC13"/>
      <c r="MGE13"/>
      <c r="MGG13"/>
      <c r="MGI13"/>
      <c r="MGK13"/>
      <c r="MGM13"/>
      <c r="MGO13"/>
      <c r="MGQ13"/>
      <c r="MGS13"/>
      <c r="MGU13"/>
      <c r="MGW13"/>
      <c r="MGY13"/>
      <c r="MHA13"/>
      <c r="MHC13"/>
      <c r="MHE13"/>
      <c r="MHG13"/>
      <c r="MHI13"/>
      <c r="MHK13"/>
      <c r="MHM13"/>
      <c r="MHO13"/>
      <c r="MHQ13"/>
      <c r="MHS13"/>
      <c r="MHU13"/>
      <c r="MHW13"/>
      <c r="MHY13"/>
      <c r="MIA13"/>
      <c r="MIC13"/>
      <c r="MIE13"/>
      <c r="MIG13"/>
      <c r="MII13"/>
      <c r="MIK13"/>
      <c r="MIM13"/>
      <c r="MIO13"/>
      <c r="MIQ13"/>
      <c r="MIS13"/>
      <c r="MIU13"/>
      <c r="MIW13"/>
      <c r="MIY13"/>
      <c r="MJA13"/>
      <c r="MJC13"/>
      <c r="MJE13"/>
      <c r="MJG13"/>
      <c r="MJI13"/>
      <c r="MJK13"/>
      <c r="MJM13"/>
      <c r="MJO13"/>
      <c r="MJQ13"/>
      <c r="MJS13"/>
      <c r="MJU13"/>
      <c r="MJW13"/>
      <c r="MJY13"/>
      <c r="MKA13"/>
      <c r="MKC13"/>
      <c r="MKE13"/>
      <c r="MKG13"/>
      <c r="MKI13"/>
      <c r="MKK13"/>
      <c r="MKM13"/>
      <c r="MKO13"/>
      <c r="MKQ13"/>
      <c r="MKS13"/>
      <c r="MKU13"/>
      <c r="MKW13"/>
      <c r="MKY13"/>
      <c r="MLA13"/>
      <c r="MLC13"/>
      <c r="MLE13"/>
      <c r="MLG13"/>
      <c r="MLI13"/>
      <c r="MLK13"/>
      <c r="MLM13"/>
      <c r="MLO13"/>
      <c r="MLQ13"/>
      <c r="MLS13"/>
      <c r="MLU13"/>
      <c r="MLW13"/>
      <c r="MLY13"/>
      <c r="MMA13"/>
      <c r="MMC13"/>
      <c r="MME13"/>
      <c r="MMG13"/>
      <c r="MMI13"/>
      <c r="MMK13"/>
      <c r="MMM13"/>
      <c r="MMO13"/>
      <c r="MMQ13"/>
      <c r="MMS13"/>
      <c r="MMU13"/>
      <c r="MMW13"/>
      <c r="MMY13"/>
      <c r="MNA13"/>
      <c r="MNC13"/>
      <c r="MNE13"/>
      <c r="MNG13"/>
      <c r="MNI13"/>
      <c r="MNK13"/>
      <c r="MNM13"/>
      <c r="MNO13"/>
      <c r="MNQ13"/>
      <c r="MNS13"/>
      <c r="MNU13"/>
      <c r="MNW13"/>
      <c r="MNY13"/>
      <c r="MOA13"/>
      <c r="MOC13"/>
      <c r="MOE13"/>
      <c r="MOG13"/>
      <c r="MOI13"/>
      <c r="MOK13"/>
      <c r="MOM13"/>
      <c r="MOO13"/>
      <c r="MOQ13"/>
      <c r="MOS13"/>
      <c r="MOU13"/>
      <c r="MOW13"/>
      <c r="MOY13"/>
      <c r="MPA13"/>
      <c r="MPC13"/>
      <c r="MPE13"/>
      <c r="MPG13"/>
      <c r="MPI13"/>
      <c r="MPK13"/>
      <c r="MPM13"/>
      <c r="MPO13"/>
      <c r="MPQ13"/>
      <c r="MPS13"/>
      <c r="MPU13"/>
      <c r="MPW13"/>
      <c r="MPY13"/>
      <c r="MQA13"/>
      <c r="MQC13"/>
      <c r="MQE13"/>
      <c r="MQG13"/>
      <c r="MQI13"/>
      <c r="MQK13"/>
      <c r="MQM13"/>
      <c r="MQO13"/>
      <c r="MQQ13"/>
      <c r="MQS13"/>
      <c r="MQU13"/>
      <c r="MQW13"/>
      <c r="MQY13"/>
      <c r="MRA13"/>
      <c r="MRC13"/>
      <c r="MRE13"/>
      <c r="MRG13"/>
      <c r="MRI13"/>
      <c r="MRK13"/>
      <c r="MRM13"/>
      <c r="MRO13"/>
      <c r="MRQ13"/>
      <c r="MRS13"/>
      <c r="MRU13"/>
      <c r="MRW13"/>
      <c r="MRY13"/>
      <c r="MSA13"/>
      <c r="MSC13"/>
      <c r="MSE13"/>
      <c r="MSG13"/>
      <c r="MSI13"/>
      <c r="MSK13"/>
      <c r="MSM13"/>
      <c r="MSO13"/>
      <c r="MSQ13"/>
      <c r="MSS13"/>
      <c r="MSU13"/>
      <c r="MSW13"/>
      <c r="MSY13"/>
      <c r="MTA13"/>
      <c r="MTC13"/>
      <c r="MTE13"/>
      <c r="MTG13"/>
      <c r="MTI13"/>
      <c r="MTK13"/>
      <c r="MTM13"/>
      <c r="MTO13"/>
      <c r="MTQ13"/>
      <c r="MTS13"/>
      <c r="MTU13"/>
      <c r="MTW13"/>
      <c r="MTY13"/>
      <c r="MUA13"/>
      <c r="MUC13"/>
      <c r="MUE13"/>
      <c r="MUG13"/>
      <c r="MUI13"/>
      <c r="MUK13"/>
      <c r="MUM13"/>
      <c r="MUO13"/>
      <c r="MUQ13"/>
      <c r="MUS13"/>
      <c r="MUU13"/>
      <c r="MUW13"/>
      <c r="MUY13"/>
      <c r="MVA13"/>
      <c r="MVC13"/>
      <c r="MVE13"/>
      <c r="MVG13"/>
      <c r="MVI13"/>
      <c r="MVK13"/>
      <c r="MVM13"/>
      <c r="MVO13"/>
      <c r="MVQ13"/>
      <c r="MVS13"/>
      <c r="MVU13"/>
      <c r="MVW13"/>
      <c r="MVY13"/>
      <c r="MWA13"/>
      <c r="MWC13"/>
      <c r="MWE13"/>
      <c r="MWG13"/>
      <c r="MWI13"/>
      <c r="MWK13"/>
      <c r="MWM13"/>
      <c r="MWO13"/>
      <c r="MWQ13"/>
      <c r="MWS13"/>
      <c r="MWU13"/>
      <c r="MWW13"/>
      <c r="MWY13"/>
      <c r="MXA13"/>
      <c r="MXC13"/>
      <c r="MXE13"/>
      <c r="MXG13"/>
      <c r="MXI13"/>
      <c r="MXK13"/>
      <c r="MXM13"/>
      <c r="MXO13"/>
      <c r="MXQ13"/>
      <c r="MXS13"/>
      <c r="MXU13"/>
      <c r="MXW13"/>
      <c r="MXY13"/>
      <c r="MYA13"/>
      <c r="MYC13"/>
      <c r="MYE13"/>
      <c r="MYG13"/>
      <c r="MYI13"/>
      <c r="MYK13"/>
      <c r="MYM13"/>
      <c r="MYO13"/>
      <c r="MYQ13"/>
      <c r="MYS13"/>
      <c r="MYU13"/>
      <c r="MYW13"/>
      <c r="MYY13"/>
      <c r="MZA13"/>
      <c r="MZC13"/>
      <c r="MZE13"/>
      <c r="MZG13"/>
      <c r="MZI13"/>
      <c r="MZK13"/>
      <c r="MZM13"/>
      <c r="MZO13"/>
      <c r="MZQ13"/>
      <c r="MZS13"/>
      <c r="MZU13"/>
      <c r="MZW13"/>
      <c r="MZY13"/>
      <c r="NAA13"/>
      <c r="NAC13"/>
      <c r="NAE13"/>
      <c r="NAG13"/>
      <c r="NAI13"/>
      <c r="NAK13"/>
      <c r="NAM13"/>
      <c r="NAO13"/>
      <c r="NAQ13"/>
      <c r="NAS13"/>
      <c r="NAU13"/>
      <c r="NAW13"/>
      <c r="NAY13"/>
      <c r="NBA13"/>
      <c r="NBC13"/>
      <c r="NBE13"/>
      <c r="NBG13"/>
      <c r="NBI13"/>
      <c r="NBK13"/>
      <c r="NBM13"/>
      <c r="NBO13"/>
      <c r="NBQ13"/>
      <c r="NBS13"/>
      <c r="NBU13"/>
      <c r="NBW13"/>
      <c r="NBY13"/>
      <c r="NCA13"/>
      <c r="NCC13"/>
      <c r="NCE13"/>
      <c r="NCG13"/>
      <c r="NCI13"/>
      <c r="NCK13"/>
      <c r="NCM13"/>
      <c r="NCO13"/>
      <c r="NCQ13"/>
      <c r="NCS13"/>
      <c r="NCU13"/>
      <c r="NCW13"/>
      <c r="NCY13"/>
      <c r="NDA13"/>
      <c r="NDC13"/>
      <c r="NDE13"/>
      <c r="NDG13"/>
      <c r="NDI13"/>
      <c r="NDK13"/>
      <c r="NDM13"/>
      <c r="NDO13"/>
      <c r="NDQ13"/>
      <c r="NDS13"/>
      <c r="NDU13"/>
      <c r="NDW13"/>
      <c r="NDY13"/>
      <c r="NEA13"/>
      <c r="NEC13"/>
      <c r="NEE13"/>
      <c r="NEG13"/>
      <c r="NEI13"/>
      <c r="NEK13"/>
      <c r="NEM13"/>
      <c r="NEO13"/>
      <c r="NEQ13"/>
      <c r="NES13"/>
      <c r="NEU13"/>
      <c r="NEW13"/>
      <c r="NEY13"/>
      <c r="NFA13"/>
      <c r="NFC13"/>
      <c r="NFE13"/>
      <c r="NFG13"/>
      <c r="NFI13"/>
      <c r="NFK13"/>
      <c r="NFM13"/>
      <c r="NFO13"/>
      <c r="NFQ13"/>
      <c r="NFS13"/>
      <c r="NFU13"/>
      <c r="NFW13"/>
      <c r="NFY13"/>
      <c r="NGA13"/>
      <c r="NGC13"/>
      <c r="NGE13"/>
      <c r="NGG13"/>
      <c r="NGI13"/>
      <c r="NGK13"/>
      <c r="NGM13"/>
      <c r="NGO13"/>
      <c r="NGQ13"/>
      <c r="NGS13"/>
      <c r="NGU13"/>
      <c r="NGW13"/>
      <c r="NGY13"/>
      <c r="NHA13"/>
      <c r="NHC13"/>
      <c r="NHE13"/>
      <c r="NHG13"/>
      <c r="NHI13"/>
      <c r="NHK13"/>
      <c r="NHM13"/>
      <c r="NHO13"/>
      <c r="NHQ13"/>
      <c r="NHS13"/>
      <c r="NHU13"/>
      <c r="NHW13"/>
      <c r="NHY13"/>
      <c r="NIA13"/>
      <c r="NIC13"/>
      <c r="NIE13"/>
      <c r="NIG13"/>
      <c r="NII13"/>
      <c r="NIK13"/>
      <c r="NIM13"/>
      <c r="NIO13"/>
      <c r="NIQ13"/>
      <c r="NIS13"/>
      <c r="NIU13"/>
      <c r="NIW13"/>
      <c r="NIY13"/>
      <c r="NJA13"/>
      <c r="NJC13"/>
      <c r="NJE13"/>
      <c r="NJG13"/>
      <c r="NJI13"/>
      <c r="NJK13"/>
      <c r="NJM13"/>
      <c r="NJO13"/>
      <c r="NJQ13"/>
      <c r="NJS13"/>
      <c r="NJU13"/>
      <c r="NJW13"/>
      <c r="NJY13"/>
      <c r="NKA13"/>
      <c r="NKC13"/>
      <c r="NKE13"/>
      <c r="NKG13"/>
      <c r="NKI13"/>
      <c r="NKK13"/>
      <c r="NKM13"/>
      <c r="NKO13"/>
      <c r="NKQ13"/>
      <c r="NKS13"/>
      <c r="NKU13"/>
      <c r="NKW13"/>
      <c r="NKY13"/>
      <c r="NLA13"/>
      <c r="NLC13"/>
      <c r="NLE13"/>
      <c r="NLG13"/>
      <c r="NLI13"/>
      <c r="NLK13"/>
      <c r="NLM13"/>
      <c r="NLO13"/>
      <c r="NLQ13"/>
      <c r="NLS13"/>
      <c r="NLU13"/>
      <c r="NLW13"/>
      <c r="NLY13"/>
      <c r="NMA13"/>
      <c r="NMC13"/>
      <c r="NME13"/>
      <c r="NMG13"/>
      <c r="NMI13"/>
      <c r="NMK13"/>
      <c r="NMM13"/>
      <c r="NMO13"/>
      <c r="NMQ13"/>
      <c r="NMS13"/>
      <c r="NMU13"/>
      <c r="NMW13"/>
      <c r="NMY13"/>
      <c r="NNA13"/>
      <c r="NNC13"/>
      <c r="NNE13"/>
      <c r="NNG13"/>
      <c r="NNI13"/>
      <c r="NNK13"/>
      <c r="NNM13"/>
      <c r="NNO13"/>
      <c r="NNQ13"/>
      <c r="NNS13"/>
      <c r="NNU13"/>
      <c r="NNW13"/>
      <c r="NNY13"/>
      <c r="NOA13"/>
      <c r="NOC13"/>
      <c r="NOE13"/>
      <c r="NOG13"/>
      <c r="NOI13"/>
      <c r="NOK13"/>
      <c r="NOM13"/>
      <c r="NOO13"/>
      <c r="NOQ13"/>
      <c r="NOS13"/>
      <c r="NOU13"/>
      <c r="NOW13"/>
      <c r="NOY13"/>
      <c r="NPA13"/>
      <c r="NPC13"/>
      <c r="NPE13"/>
      <c r="NPG13"/>
      <c r="NPI13"/>
      <c r="NPK13"/>
      <c r="NPM13"/>
      <c r="NPO13"/>
      <c r="NPQ13"/>
      <c r="NPS13"/>
      <c r="NPU13"/>
      <c r="NPW13"/>
      <c r="NPY13"/>
      <c r="NQA13"/>
      <c r="NQC13"/>
      <c r="NQE13"/>
      <c r="NQG13"/>
      <c r="NQI13"/>
      <c r="NQK13"/>
      <c r="NQM13"/>
      <c r="NQO13"/>
      <c r="NQQ13"/>
      <c r="NQS13"/>
      <c r="NQU13"/>
      <c r="NQW13"/>
      <c r="NQY13"/>
      <c r="NRA13"/>
      <c r="NRC13"/>
      <c r="NRE13"/>
      <c r="NRG13"/>
      <c r="NRI13"/>
      <c r="NRK13"/>
      <c r="NRM13"/>
      <c r="NRO13"/>
      <c r="NRQ13"/>
      <c r="NRS13"/>
      <c r="NRU13"/>
      <c r="NRW13"/>
      <c r="NRY13"/>
      <c r="NSA13"/>
      <c r="NSC13"/>
      <c r="NSE13"/>
      <c r="NSG13"/>
      <c r="NSI13"/>
      <c r="NSK13"/>
      <c r="NSM13"/>
      <c r="NSO13"/>
      <c r="NSQ13"/>
      <c r="NSS13"/>
      <c r="NSU13"/>
      <c r="NSW13"/>
      <c r="NSY13"/>
      <c r="NTA13"/>
      <c r="NTC13"/>
      <c r="NTE13"/>
      <c r="NTG13"/>
      <c r="NTI13"/>
      <c r="NTK13"/>
      <c r="NTM13"/>
      <c r="NTO13"/>
      <c r="NTQ13"/>
      <c r="NTS13"/>
      <c r="NTU13"/>
      <c r="NTW13"/>
      <c r="NTY13"/>
      <c r="NUA13"/>
      <c r="NUC13"/>
      <c r="NUE13"/>
      <c r="NUG13"/>
      <c r="NUI13"/>
      <c r="NUK13"/>
      <c r="NUM13"/>
      <c r="NUO13"/>
      <c r="NUQ13"/>
      <c r="NUS13"/>
      <c r="NUU13"/>
      <c r="NUW13"/>
      <c r="NUY13"/>
      <c r="NVA13"/>
      <c r="NVC13"/>
      <c r="NVE13"/>
      <c r="NVG13"/>
      <c r="NVI13"/>
      <c r="NVK13"/>
      <c r="NVM13"/>
      <c r="NVO13"/>
      <c r="NVQ13"/>
      <c r="NVS13"/>
      <c r="NVU13"/>
      <c r="NVW13"/>
      <c r="NVY13"/>
      <c r="NWA13"/>
      <c r="NWC13"/>
      <c r="NWE13"/>
      <c r="NWG13"/>
      <c r="NWI13"/>
      <c r="NWK13"/>
      <c r="NWM13"/>
      <c r="NWO13"/>
      <c r="NWQ13"/>
      <c r="NWS13"/>
      <c r="NWU13"/>
      <c r="NWW13"/>
      <c r="NWY13"/>
      <c r="NXA13"/>
      <c r="NXC13"/>
      <c r="NXE13"/>
      <c r="NXG13"/>
      <c r="NXI13"/>
      <c r="NXK13"/>
      <c r="NXM13"/>
      <c r="NXO13"/>
      <c r="NXQ13"/>
      <c r="NXS13"/>
      <c r="NXU13"/>
      <c r="NXW13"/>
      <c r="NXY13"/>
      <c r="NYA13"/>
      <c r="NYC13"/>
      <c r="NYE13"/>
      <c r="NYG13"/>
      <c r="NYI13"/>
      <c r="NYK13"/>
      <c r="NYM13"/>
      <c r="NYO13"/>
      <c r="NYQ13"/>
      <c r="NYS13"/>
      <c r="NYU13"/>
      <c r="NYW13"/>
      <c r="NYY13"/>
      <c r="NZA13"/>
      <c r="NZC13"/>
      <c r="NZE13"/>
      <c r="NZG13"/>
      <c r="NZI13"/>
      <c r="NZK13"/>
      <c r="NZM13"/>
      <c r="NZO13"/>
      <c r="NZQ13"/>
      <c r="NZS13"/>
      <c r="NZU13"/>
      <c r="NZW13"/>
      <c r="NZY13"/>
      <c r="OAA13"/>
      <c r="OAC13"/>
      <c r="OAE13"/>
      <c r="OAG13"/>
      <c r="OAI13"/>
      <c r="OAK13"/>
      <c r="OAM13"/>
      <c r="OAO13"/>
      <c r="OAQ13"/>
      <c r="OAS13"/>
      <c r="OAU13"/>
      <c r="OAW13"/>
      <c r="OAY13"/>
      <c r="OBA13"/>
      <c r="OBC13"/>
      <c r="OBE13"/>
      <c r="OBG13"/>
      <c r="OBI13"/>
      <c r="OBK13"/>
      <c r="OBM13"/>
      <c r="OBO13"/>
      <c r="OBQ13"/>
      <c r="OBS13"/>
      <c r="OBU13"/>
      <c r="OBW13"/>
      <c r="OBY13"/>
      <c r="OCA13"/>
      <c r="OCC13"/>
      <c r="OCE13"/>
      <c r="OCG13"/>
      <c r="OCI13"/>
      <c r="OCK13"/>
      <c r="OCM13"/>
      <c r="OCO13"/>
      <c r="OCQ13"/>
      <c r="OCS13"/>
      <c r="OCU13"/>
      <c r="OCW13"/>
      <c r="OCY13"/>
      <c r="ODA13"/>
      <c r="ODC13"/>
      <c r="ODE13"/>
      <c r="ODG13"/>
      <c r="ODI13"/>
      <c r="ODK13"/>
      <c r="ODM13"/>
      <c r="ODO13"/>
      <c r="ODQ13"/>
      <c r="ODS13"/>
      <c r="ODU13"/>
      <c r="ODW13"/>
      <c r="ODY13"/>
      <c r="OEA13"/>
      <c r="OEC13"/>
      <c r="OEE13"/>
      <c r="OEG13"/>
      <c r="OEI13"/>
      <c r="OEK13"/>
      <c r="OEM13"/>
      <c r="OEO13"/>
      <c r="OEQ13"/>
      <c r="OES13"/>
      <c r="OEU13"/>
      <c r="OEW13"/>
      <c r="OEY13"/>
      <c r="OFA13"/>
      <c r="OFC13"/>
      <c r="OFE13"/>
      <c r="OFG13"/>
      <c r="OFI13"/>
      <c r="OFK13"/>
      <c r="OFM13"/>
      <c r="OFO13"/>
      <c r="OFQ13"/>
      <c r="OFS13"/>
      <c r="OFU13"/>
      <c r="OFW13"/>
      <c r="OFY13"/>
      <c r="OGA13"/>
      <c r="OGC13"/>
      <c r="OGE13"/>
      <c r="OGG13"/>
      <c r="OGI13"/>
      <c r="OGK13"/>
      <c r="OGM13"/>
      <c r="OGO13"/>
      <c r="OGQ13"/>
      <c r="OGS13"/>
      <c r="OGU13"/>
      <c r="OGW13"/>
      <c r="OGY13"/>
      <c r="OHA13"/>
      <c r="OHC13"/>
      <c r="OHE13"/>
      <c r="OHG13"/>
      <c r="OHI13"/>
      <c r="OHK13"/>
      <c r="OHM13"/>
      <c r="OHO13"/>
      <c r="OHQ13"/>
      <c r="OHS13"/>
      <c r="OHU13"/>
      <c r="OHW13"/>
      <c r="OHY13"/>
      <c r="OIA13"/>
      <c r="OIC13"/>
      <c r="OIE13"/>
      <c r="OIG13"/>
      <c r="OII13"/>
      <c r="OIK13"/>
      <c r="OIM13"/>
      <c r="OIO13"/>
      <c r="OIQ13"/>
      <c r="OIS13"/>
      <c r="OIU13"/>
      <c r="OIW13"/>
      <c r="OIY13"/>
      <c r="OJA13"/>
      <c r="OJC13"/>
      <c r="OJE13"/>
      <c r="OJG13"/>
      <c r="OJI13"/>
      <c r="OJK13"/>
      <c r="OJM13"/>
      <c r="OJO13"/>
      <c r="OJQ13"/>
      <c r="OJS13"/>
      <c r="OJU13"/>
      <c r="OJW13"/>
      <c r="OJY13"/>
      <c r="OKA13"/>
      <c r="OKC13"/>
      <c r="OKE13"/>
      <c r="OKG13"/>
      <c r="OKI13"/>
      <c r="OKK13"/>
      <c r="OKM13"/>
      <c r="OKO13"/>
      <c r="OKQ13"/>
      <c r="OKS13"/>
      <c r="OKU13"/>
      <c r="OKW13"/>
      <c r="OKY13"/>
      <c r="OLA13"/>
      <c r="OLC13"/>
      <c r="OLE13"/>
      <c r="OLG13"/>
      <c r="OLI13"/>
      <c r="OLK13"/>
      <c r="OLM13"/>
      <c r="OLO13"/>
      <c r="OLQ13"/>
      <c r="OLS13"/>
      <c r="OLU13"/>
      <c r="OLW13"/>
      <c r="OLY13"/>
      <c r="OMA13"/>
      <c r="OMC13"/>
      <c r="OME13"/>
      <c r="OMG13"/>
      <c r="OMI13"/>
      <c r="OMK13"/>
      <c r="OMM13"/>
      <c r="OMO13"/>
      <c r="OMQ13"/>
      <c r="OMS13"/>
      <c r="OMU13"/>
      <c r="OMW13"/>
      <c r="OMY13"/>
      <c r="ONA13"/>
      <c r="ONC13"/>
      <c r="ONE13"/>
      <c r="ONG13"/>
      <c r="ONI13"/>
      <c r="ONK13"/>
      <c r="ONM13"/>
      <c r="ONO13"/>
      <c r="ONQ13"/>
      <c r="ONS13"/>
      <c r="ONU13"/>
      <c r="ONW13"/>
      <c r="ONY13"/>
      <c r="OOA13"/>
      <c r="OOC13"/>
      <c r="OOE13"/>
      <c r="OOG13"/>
      <c r="OOI13"/>
      <c r="OOK13"/>
      <c r="OOM13"/>
      <c r="OOO13"/>
      <c r="OOQ13"/>
      <c r="OOS13"/>
      <c r="OOU13"/>
      <c r="OOW13"/>
      <c r="OOY13"/>
      <c r="OPA13"/>
      <c r="OPC13"/>
      <c r="OPE13"/>
      <c r="OPG13"/>
      <c r="OPI13"/>
      <c r="OPK13"/>
      <c r="OPM13"/>
      <c r="OPO13"/>
      <c r="OPQ13"/>
      <c r="OPS13"/>
      <c r="OPU13"/>
      <c r="OPW13"/>
      <c r="OPY13"/>
      <c r="OQA13"/>
      <c r="OQC13"/>
      <c r="OQE13"/>
      <c r="OQG13"/>
      <c r="OQI13"/>
      <c r="OQK13"/>
      <c r="OQM13"/>
      <c r="OQO13"/>
      <c r="OQQ13"/>
      <c r="OQS13"/>
      <c r="OQU13"/>
      <c r="OQW13"/>
      <c r="OQY13"/>
      <c r="ORA13"/>
      <c r="ORC13"/>
      <c r="ORE13"/>
      <c r="ORG13"/>
      <c r="ORI13"/>
      <c r="ORK13"/>
      <c r="ORM13"/>
      <c r="ORO13"/>
      <c r="ORQ13"/>
      <c r="ORS13"/>
      <c r="ORU13"/>
      <c r="ORW13"/>
      <c r="ORY13"/>
      <c r="OSA13"/>
      <c r="OSC13"/>
      <c r="OSE13"/>
      <c r="OSG13"/>
      <c r="OSI13"/>
      <c r="OSK13"/>
      <c r="OSM13"/>
      <c r="OSO13"/>
      <c r="OSQ13"/>
      <c r="OSS13"/>
      <c r="OSU13"/>
      <c r="OSW13"/>
      <c r="OSY13"/>
      <c r="OTA13"/>
      <c r="OTC13"/>
      <c r="OTE13"/>
      <c r="OTG13"/>
      <c r="OTI13"/>
      <c r="OTK13"/>
      <c r="OTM13"/>
      <c r="OTO13"/>
      <c r="OTQ13"/>
      <c r="OTS13"/>
      <c r="OTU13"/>
      <c r="OTW13"/>
      <c r="OTY13"/>
      <c r="OUA13"/>
      <c r="OUC13"/>
      <c r="OUE13"/>
      <c r="OUG13"/>
      <c r="OUI13"/>
      <c r="OUK13"/>
      <c r="OUM13"/>
      <c r="OUO13"/>
      <c r="OUQ13"/>
      <c r="OUS13"/>
      <c r="OUU13"/>
      <c r="OUW13"/>
      <c r="OUY13"/>
      <c r="OVA13"/>
      <c r="OVC13"/>
      <c r="OVE13"/>
      <c r="OVG13"/>
      <c r="OVI13"/>
      <c r="OVK13"/>
      <c r="OVM13"/>
      <c r="OVO13"/>
      <c r="OVQ13"/>
      <c r="OVS13"/>
      <c r="OVU13"/>
      <c r="OVW13"/>
      <c r="OVY13"/>
      <c r="OWA13"/>
      <c r="OWC13"/>
      <c r="OWE13"/>
      <c r="OWG13"/>
      <c r="OWI13"/>
      <c r="OWK13"/>
      <c r="OWM13"/>
      <c r="OWO13"/>
      <c r="OWQ13"/>
      <c r="OWS13"/>
      <c r="OWU13"/>
      <c r="OWW13"/>
      <c r="OWY13"/>
      <c r="OXA13"/>
      <c r="OXC13"/>
      <c r="OXE13"/>
      <c r="OXG13"/>
      <c r="OXI13"/>
      <c r="OXK13"/>
      <c r="OXM13"/>
      <c r="OXO13"/>
      <c r="OXQ13"/>
      <c r="OXS13"/>
      <c r="OXU13"/>
      <c r="OXW13"/>
      <c r="OXY13"/>
      <c r="OYA13"/>
      <c r="OYC13"/>
      <c r="OYE13"/>
      <c r="OYG13"/>
      <c r="OYI13"/>
      <c r="OYK13"/>
      <c r="OYM13"/>
      <c r="OYO13"/>
      <c r="OYQ13"/>
      <c r="OYS13"/>
      <c r="OYU13"/>
      <c r="OYW13"/>
      <c r="OYY13"/>
      <c r="OZA13"/>
      <c r="OZC13"/>
      <c r="OZE13"/>
      <c r="OZG13"/>
      <c r="OZI13"/>
      <c r="OZK13"/>
      <c r="OZM13"/>
      <c r="OZO13"/>
      <c r="OZQ13"/>
      <c r="OZS13"/>
      <c r="OZU13"/>
      <c r="OZW13"/>
      <c r="OZY13"/>
      <c r="PAA13"/>
      <c r="PAC13"/>
      <c r="PAE13"/>
      <c r="PAG13"/>
      <c r="PAI13"/>
      <c r="PAK13"/>
      <c r="PAM13"/>
      <c r="PAO13"/>
      <c r="PAQ13"/>
      <c r="PAS13"/>
      <c r="PAU13"/>
      <c r="PAW13"/>
      <c r="PAY13"/>
      <c r="PBA13"/>
      <c r="PBC13"/>
      <c r="PBE13"/>
      <c r="PBG13"/>
      <c r="PBI13"/>
      <c r="PBK13"/>
      <c r="PBM13"/>
      <c r="PBO13"/>
      <c r="PBQ13"/>
      <c r="PBS13"/>
      <c r="PBU13"/>
      <c r="PBW13"/>
      <c r="PBY13"/>
      <c r="PCA13"/>
      <c r="PCC13"/>
      <c r="PCE13"/>
      <c r="PCG13"/>
      <c r="PCI13"/>
      <c r="PCK13"/>
      <c r="PCM13"/>
      <c r="PCO13"/>
      <c r="PCQ13"/>
      <c r="PCS13"/>
      <c r="PCU13"/>
      <c r="PCW13"/>
      <c r="PCY13"/>
      <c r="PDA13"/>
      <c r="PDC13"/>
      <c r="PDE13"/>
      <c r="PDG13"/>
      <c r="PDI13"/>
      <c r="PDK13"/>
      <c r="PDM13"/>
      <c r="PDO13"/>
      <c r="PDQ13"/>
      <c r="PDS13"/>
      <c r="PDU13"/>
      <c r="PDW13"/>
      <c r="PDY13"/>
      <c r="PEA13"/>
      <c r="PEC13"/>
      <c r="PEE13"/>
      <c r="PEG13"/>
      <c r="PEI13"/>
      <c r="PEK13"/>
      <c r="PEM13"/>
      <c r="PEO13"/>
      <c r="PEQ13"/>
      <c r="PES13"/>
      <c r="PEU13"/>
      <c r="PEW13"/>
      <c r="PEY13"/>
      <c r="PFA13"/>
      <c r="PFC13"/>
      <c r="PFE13"/>
      <c r="PFG13"/>
      <c r="PFI13"/>
      <c r="PFK13"/>
      <c r="PFM13"/>
      <c r="PFO13"/>
      <c r="PFQ13"/>
      <c r="PFS13"/>
      <c r="PFU13"/>
      <c r="PFW13"/>
      <c r="PFY13"/>
      <c r="PGA13"/>
      <c r="PGC13"/>
      <c r="PGE13"/>
      <c r="PGG13"/>
      <c r="PGI13"/>
      <c r="PGK13"/>
      <c r="PGM13"/>
      <c r="PGO13"/>
      <c r="PGQ13"/>
      <c r="PGS13"/>
      <c r="PGU13"/>
      <c r="PGW13"/>
      <c r="PGY13"/>
      <c r="PHA13"/>
      <c r="PHC13"/>
      <c r="PHE13"/>
      <c r="PHG13"/>
      <c r="PHI13"/>
      <c r="PHK13"/>
      <c r="PHM13"/>
      <c r="PHO13"/>
      <c r="PHQ13"/>
      <c r="PHS13"/>
      <c r="PHU13"/>
      <c r="PHW13"/>
      <c r="PHY13"/>
      <c r="PIA13"/>
      <c r="PIC13"/>
      <c r="PIE13"/>
      <c r="PIG13"/>
      <c r="PII13"/>
      <c r="PIK13"/>
      <c r="PIM13"/>
      <c r="PIO13"/>
      <c r="PIQ13"/>
      <c r="PIS13"/>
      <c r="PIU13"/>
      <c r="PIW13"/>
      <c r="PIY13"/>
      <c r="PJA13"/>
      <c r="PJC13"/>
      <c r="PJE13"/>
      <c r="PJG13"/>
      <c r="PJI13"/>
      <c r="PJK13"/>
      <c r="PJM13"/>
      <c r="PJO13"/>
      <c r="PJQ13"/>
      <c r="PJS13"/>
      <c r="PJU13"/>
      <c r="PJW13"/>
      <c r="PJY13"/>
      <c r="PKA13"/>
      <c r="PKC13"/>
      <c r="PKE13"/>
      <c r="PKG13"/>
      <c r="PKI13"/>
      <c r="PKK13"/>
      <c r="PKM13"/>
      <c r="PKO13"/>
      <c r="PKQ13"/>
      <c r="PKS13"/>
      <c r="PKU13"/>
      <c r="PKW13"/>
      <c r="PKY13"/>
      <c r="PLA13"/>
      <c r="PLC13"/>
      <c r="PLE13"/>
      <c r="PLG13"/>
      <c r="PLI13"/>
      <c r="PLK13"/>
      <c r="PLM13"/>
      <c r="PLO13"/>
      <c r="PLQ13"/>
      <c r="PLS13"/>
      <c r="PLU13"/>
      <c r="PLW13"/>
      <c r="PLY13"/>
      <c r="PMA13"/>
      <c r="PMC13"/>
      <c r="PME13"/>
      <c r="PMG13"/>
      <c r="PMI13"/>
      <c r="PMK13"/>
      <c r="PMM13"/>
      <c r="PMO13"/>
      <c r="PMQ13"/>
      <c r="PMS13"/>
      <c r="PMU13"/>
      <c r="PMW13"/>
      <c r="PMY13"/>
      <c r="PNA13"/>
      <c r="PNC13"/>
      <c r="PNE13"/>
      <c r="PNG13"/>
      <c r="PNI13"/>
      <c r="PNK13"/>
      <c r="PNM13"/>
      <c r="PNO13"/>
      <c r="PNQ13"/>
      <c r="PNS13"/>
      <c r="PNU13"/>
      <c r="PNW13"/>
      <c r="PNY13"/>
      <c r="POA13"/>
      <c r="POC13"/>
      <c r="POE13"/>
      <c r="POG13"/>
      <c r="POI13"/>
      <c r="POK13"/>
      <c r="POM13"/>
      <c r="POO13"/>
      <c r="POQ13"/>
      <c r="POS13"/>
      <c r="POU13"/>
      <c r="POW13"/>
      <c r="POY13"/>
      <c r="PPA13"/>
      <c r="PPC13"/>
      <c r="PPE13"/>
      <c r="PPG13"/>
      <c r="PPI13"/>
      <c r="PPK13"/>
      <c r="PPM13"/>
      <c r="PPO13"/>
      <c r="PPQ13"/>
      <c r="PPS13"/>
      <c r="PPU13"/>
      <c r="PPW13"/>
      <c r="PPY13"/>
      <c r="PQA13"/>
      <c r="PQC13"/>
      <c r="PQE13"/>
      <c r="PQG13"/>
      <c r="PQI13"/>
      <c r="PQK13"/>
      <c r="PQM13"/>
      <c r="PQO13"/>
      <c r="PQQ13"/>
      <c r="PQS13"/>
      <c r="PQU13"/>
      <c r="PQW13"/>
      <c r="PQY13"/>
      <c r="PRA13"/>
      <c r="PRC13"/>
      <c r="PRE13"/>
      <c r="PRG13"/>
      <c r="PRI13"/>
      <c r="PRK13"/>
      <c r="PRM13"/>
      <c r="PRO13"/>
      <c r="PRQ13"/>
      <c r="PRS13"/>
      <c r="PRU13"/>
      <c r="PRW13"/>
      <c r="PRY13"/>
      <c r="PSA13"/>
      <c r="PSC13"/>
      <c r="PSE13"/>
      <c r="PSG13"/>
      <c r="PSI13"/>
      <c r="PSK13"/>
      <c r="PSM13"/>
      <c r="PSO13"/>
      <c r="PSQ13"/>
      <c r="PSS13"/>
      <c r="PSU13"/>
      <c r="PSW13"/>
      <c r="PSY13"/>
      <c r="PTA13"/>
      <c r="PTC13"/>
      <c r="PTE13"/>
      <c r="PTG13"/>
      <c r="PTI13"/>
      <c r="PTK13"/>
      <c r="PTM13"/>
      <c r="PTO13"/>
      <c r="PTQ13"/>
      <c r="PTS13"/>
      <c r="PTU13"/>
      <c r="PTW13"/>
      <c r="PTY13"/>
      <c r="PUA13"/>
      <c r="PUC13"/>
      <c r="PUE13"/>
      <c r="PUG13"/>
      <c r="PUI13"/>
      <c r="PUK13"/>
      <c r="PUM13"/>
      <c r="PUO13"/>
      <c r="PUQ13"/>
      <c r="PUS13"/>
      <c r="PUU13"/>
      <c r="PUW13"/>
      <c r="PUY13"/>
      <c r="PVA13"/>
      <c r="PVC13"/>
      <c r="PVE13"/>
      <c r="PVG13"/>
      <c r="PVI13"/>
      <c r="PVK13"/>
      <c r="PVM13"/>
      <c r="PVO13"/>
      <c r="PVQ13"/>
      <c r="PVS13"/>
      <c r="PVU13"/>
      <c r="PVW13"/>
      <c r="PVY13"/>
      <c r="PWA13"/>
      <c r="PWC13"/>
      <c r="PWE13"/>
      <c r="PWG13"/>
      <c r="PWI13"/>
      <c r="PWK13"/>
      <c r="PWM13"/>
      <c r="PWO13"/>
      <c r="PWQ13"/>
      <c r="PWS13"/>
      <c r="PWU13"/>
      <c r="PWW13"/>
      <c r="PWY13"/>
      <c r="PXA13"/>
      <c r="PXC13"/>
      <c r="PXE13"/>
      <c r="PXG13"/>
      <c r="PXI13"/>
      <c r="PXK13"/>
      <c r="PXM13"/>
      <c r="PXO13"/>
      <c r="PXQ13"/>
      <c r="PXS13"/>
      <c r="PXU13"/>
      <c r="PXW13"/>
      <c r="PXY13"/>
      <c r="PYA13"/>
      <c r="PYC13"/>
      <c r="PYE13"/>
      <c r="PYG13"/>
      <c r="PYI13"/>
      <c r="PYK13"/>
      <c r="PYM13"/>
      <c r="PYO13"/>
      <c r="PYQ13"/>
      <c r="PYS13"/>
      <c r="PYU13"/>
      <c r="PYW13"/>
      <c r="PYY13"/>
      <c r="PZA13"/>
      <c r="PZC13"/>
      <c r="PZE13"/>
      <c r="PZG13"/>
      <c r="PZI13"/>
      <c r="PZK13"/>
      <c r="PZM13"/>
      <c r="PZO13"/>
      <c r="PZQ13"/>
      <c r="PZS13"/>
      <c r="PZU13"/>
      <c r="PZW13"/>
      <c r="PZY13"/>
      <c r="QAA13"/>
      <c r="QAC13"/>
      <c r="QAE13"/>
      <c r="QAG13"/>
      <c r="QAI13"/>
      <c r="QAK13"/>
      <c r="QAM13"/>
      <c r="QAO13"/>
      <c r="QAQ13"/>
      <c r="QAS13"/>
      <c r="QAU13"/>
      <c r="QAW13"/>
      <c r="QAY13"/>
      <c r="QBA13"/>
      <c r="QBC13"/>
      <c r="QBE13"/>
      <c r="QBG13"/>
      <c r="QBI13"/>
      <c r="QBK13"/>
      <c r="QBM13"/>
      <c r="QBO13"/>
      <c r="QBQ13"/>
      <c r="QBS13"/>
      <c r="QBU13"/>
      <c r="QBW13"/>
      <c r="QBY13"/>
      <c r="QCA13"/>
      <c r="QCC13"/>
      <c r="QCE13"/>
      <c r="QCG13"/>
      <c r="QCI13"/>
      <c r="QCK13"/>
      <c r="QCM13"/>
      <c r="QCO13"/>
      <c r="QCQ13"/>
      <c r="QCS13"/>
      <c r="QCU13"/>
      <c r="QCW13"/>
      <c r="QCY13"/>
      <c r="QDA13"/>
      <c r="QDC13"/>
      <c r="QDE13"/>
      <c r="QDG13"/>
      <c r="QDI13"/>
      <c r="QDK13"/>
      <c r="QDM13"/>
      <c r="QDO13"/>
      <c r="QDQ13"/>
      <c r="QDS13"/>
      <c r="QDU13"/>
      <c r="QDW13"/>
      <c r="QDY13"/>
      <c r="QEA13"/>
      <c r="QEC13"/>
      <c r="QEE13"/>
      <c r="QEG13"/>
      <c r="QEI13"/>
      <c r="QEK13"/>
      <c r="QEM13"/>
      <c r="QEO13"/>
      <c r="QEQ13"/>
      <c r="QES13"/>
      <c r="QEU13"/>
      <c r="QEW13"/>
      <c r="QEY13"/>
      <c r="QFA13"/>
      <c r="QFC13"/>
      <c r="QFE13"/>
      <c r="QFG13"/>
      <c r="QFI13"/>
      <c r="QFK13"/>
      <c r="QFM13"/>
      <c r="QFO13"/>
      <c r="QFQ13"/>
      <c r="QFS13"/>
      <c r="QFU13"/>
      <c r="QFW13"/>
      <c r="QFY13"/>
      <c r="QGA13"/>
      <c r="QGC13"/>
      <c r="QGE13"/>
      <c r="QGG13"/>
      <c r="QGI13"/>
      <c r="QGK13"/>
      <c r="QGM13"/>
      <c r="QGO13"/>
      <c r="QGQ13"/>
      <c r="QGS13"/>
      <c r="QGU13"/>
      <c r="QGW13"/>
      <c r="QGY13"/>
      <c r="QHA13"/>
      <c r="QHC13"/>
      <c r="QHE13"/>
      <c r="QHG13"/>
      <c r="QHI13"/>
      <c r="QHK13"/>
      <c r="QHM13"/>
      <c r="QHO13"/>
      <c r="QHQ13"/>
      <c r="QHS13"/>
      <c r="QHU13"/>
      <c r="QHW13"/>
      <c r="QHY13"/>
      <c r="QIA13"/>
      <c r="QIC13"/>
      <c r="QIE13"/>
      <c r="QIG13"/>
      <c r="QII13"/>
      <c r="QIK13"/>
      <c r="QIM13"/>
      <c r="QIO13"/>
      <c r="QIQ13"/>
      <c r="QIS13"/>
      <c r="QIU13"/>
      <c r="QIW13"/>
      <c r="QIY13"/>
      <c r="QJA13"/>
      <c r="QJC13"/>
      <c r="QJE13"/>
      <c r="QJG13"/>
      <c r="QJI13"/>
      <c r="QJK13"/>
      <c r="QJM13"/>
      <c r="QJO13"/>
      <c r="QJQ13"/>
      <c r="QJS13"/>
      <c r="QJU13"/>
      <c r="QJW13"/>
      <c r="QJY13"/>
      <c r="QKA13"/>
      <c r="QKC13"/>
      <c r="QKE13"/>
      <c r="QKG13"/>
      <c r="QKI13"/>
      <c r="QKK13"/>
      <c r="QKM13"/>
      <c r="QKO13"/>
      <c r="QKQ13"/>
      <c r="QKS13"/>
      <c r="QKU13"/>
      <c r="QKW13"/>
      <c r="QKY13"/>
      <c r="QLA13"/>
      <c r="QLC13"/>
      <c r="QLE13"/>
      <c r="QLG13"/>
      <c r="QLI13"/>
      <c r="QLK13"/>
      <c r="QLM13"/>
      <c r="QLO13"/>
      <c r="QLQ13"/>
      <c r="QLS13"/>
      <c r="QLU13"/>
      <c r="QLW13"/>
      <c r="QLY13"/>
      <c r="QMA13"/>
      <c r="QMC13"/>
      <c r="QME13"/>
      <c r="QMG13"/>
      <c r="QMI13"/>
      <c r="QMK13"/>
      <c r="QMM13"/>
      <c r="QMO13"/>
      <c r="QMQ13"/>
      <c r="QMS13"/>
      <c r="QMU13"/>
      <c r="QMW13"/>
      <c r="QMY13"/>
      <c r="QNA13"/>
      <c r="QNC13"/>
      <c r="QNE13"/>
      <c r="QNG13"/>
      <c r="QNI13"/>
      <c r="QNK13"/>
      <c r="QNM13"/>
      <c r="QNO13"/>
      <c r="QNQ13"/>
      <c r="QNS13"/>
      <c r="QNU13"/>
      <c r="QNW13"/>
      <c r="QNY13"/>
      <c r="QOA13"/>
      <c r="QOC13"/>
      <c r="QOE13"/>
      <c r="QOG13"/>
      <c r="QOI13"/>
      <c r="QOK13"/>
      <c r="QOM13"/>
      <c r="QOO13"/>
      <c r="QOQ13"/>
      <c r="QOS13"/>
      <c r="QOU13"/>
      <c r="QOW13"/>
      <c r="QOY13"/>
      <c r="QPA13"/>
      <c r="QPC13"/>
      <c r="QPE13"/>
      <c r="QPG13"/>
      <c r="QPI13"/>
      <c r="QPK13"/>
      <c r="QPM13"/>
      <c r="QPO13"/>
      <c r="QPQ13"/>
      <c r="QPS13"/>
      <c r="QPU13"/>
      <c r="QPW13"/>
      <c r="QPY13"/>
      <c r="QQA13"/>
      <c r="QQC13"/>
      <c r="QQE13"/>
      <c r="QQG13"/>
      <c r="QQI13"/>
      <c r="QQK13"/>
      <c r="QQM13"/>
      <c r="QQO13"/>
      <c r="QQQ13"/>
      <c r="QQS13"/>
      <c r="QQU13"/>
      <c r="QQW13"/>
      <c r="QQY13"/>
      <c r="QRA13"/>
      <c r="QRC13"/>
      <c r="QRE13"/>
      <c r="QRG13"/>
      <c r="QRI13"/>
      <c r="QRK13"/>
      <c r="QRM13"/>
      <c r="QRO13"/>
      <c r="QRQ13"/>
      <c r="QRS13"/>
      <c r="QRU13"/>
      <c r="QRW13"/>
      <c r="QRY13"/>
      <c r="QSA13"/>
      <c r="QSC13"/>
      <c r="QSE13"/>
      <c r="QSG13"/>
      <c r="QSI13"/>
      <c r="QSK13"/>
      <c r="QSM13"/>
      <c r="QSO13"/>
      <c r="QSQ13"/>
      <c r="QSS13"/>
      <c r="QSU13"/>
      <c r="QSW13"/>
      <c r="QSY13"/>
      <c r="QTA13"/>
      <c r="QTC13"/>
      <c r="QTE13"/>
      <c r="QTG13"/>
      <c r="QTI13"/>
      <c r="QTK13"/>
      <c r="QTM13"/>
      <c r="QTO13"/>
      <c r="QTQ13"/>
      <c r="QTS13"/>
      <c r="QTU13"/>
      <c r="QTW13"/>
      <c r="QTY13"/>
      <c r="QUA13"/>
      <c r="QUC13"/>
      <c r="QUE13"/>
      <c r="QUG13"/>
      <c r="QUI13"/>
      <c r="QUK13"/>
      <c r="QUM13"/>
      <c r="QUO13"/>
      <c r="QUQ13"/>
      <c r="QUS13"/>
      <c r="QUU13"/>
      <c r="QUW13"/>
      <c r="QUY13"/>
      <c r="QVA13"/>
      <c r="QVC13"/>
      <c r="QVE13"/>
      <c r="QVG13"/>
      <c r="QVI13"/>
      <c r="QVK13"/>
      <c r="QVM13"/>
      <c r="QVO13"/>
      <c r="QVQ13"/>
      <c r="QVS13"/>
      <c r="QVU13"/>
      <c r="QVW13"/>
      <c r="QVY13"/>
      <c r="QWA13"/>
      <c r="QWC13"/>
      <c r="QWE13"/>
      <c r="QWG13"/>
      <c r="QWI13"/>
      <c r="QWK13"/>
      <c r="QWM13"/>
      <c r="QWO13"/>
      <c r="QWQ13"/>
      <c r="QWS13"/>
      <c r="QWU13"/>
      <c r="QWW13"/>
      <c r="QWY13"/>
      <c r="QXA13"/>
      <c r="QXC13"/>
      <c r="QXE13"/>
      <c r="QXG13"/>
      <c r="QXI13"/>
      <c r="QXK13"/>
      <c r="QXM13"/>
      <c r="QXO13"/>
      <c r="QXQ13"/>
      <c r="QXS13"/>
      <c r="QXU13"/>
      <c r="QXW13"/>
      <c r="QXY13"/>
      <c r="QYA13"/>
      <c r="QYC13"/>
      <c r="QYE13"/>
      <c r="QYG13"/>
      <c r="QYI13"/>
      <c r="QYK13"/>
      <c r="QYM13"/>
      <c r="QYO13"/>
      <c r="QYQ13"/>
      <c r="QYS13"/>
      <c r="QYU13"/>
      <c r="QYW13"/>
      <c r="QYY13"/>
      <c r="QZA13"/>
      <c r="QZC13"/>
      <c r="QZE13"/>
      <c r="QZG13"/>
      <c r="QZI13"/>
      <c r="QZK13"/>
      <c r="QZM13"/>
      <c r="QZO13"/>
      <c r="QZQ13"/>
      <c r="QZS13"/>
      <c r="QZU13"/>
      <c r="QZW13"/>
      <c r="QZY13"/>
      <c r="RAA13"/>
      <c r="RAC13"/>
      <c r="RAE13"/>
      <c r="RAG13"/>
      <c r="RAI13"/>
      <c r="RAK13"/>
      <c r="RAM13"/>
      <c r="RAO13"/>
      <c r="RAQ13"/>
      <c r="RAS13"/>
      <c r="RAU13"/>
      <c r="RAW13"/>
      <c r="RAY13"/>
      <c r="RBA13"/>
      <c r="RBC13"/>
      <c r="RBE13"/>
      <c r="RBG13"/>
      <c r="RBI13"/>
      <c r="RBK13"/>
      <c r="RBM13"/>
      <c r="RBO13"/>
      <c r="RBQ13"/>
      <c r="RBS13"/>
      <c r="RBU13"/>
      <c r="RBW13"/>
      <c r="RBY13"/>
      <c r="RCA13"/>
      <c r="RCC13"/>
      <c r="RCE13"/>
      <c r="RCG13"/>
      <c r="RCI13"/>
      <c r="RCK13"/>
      <c r="RCM13"/>
      <c r="RCO13"/>
      <c r="RCQ13"/>
      <c r="RCS13"/>
      <c r="RCU13"/>
      <c r="RCW13"/>
      <c r="RCY13"/>
      <c r="RDA13"/>
      <c r="RDC13"/>
      <c r="RDE13"/>
      <c r="RDG13"/>
      <c r="RDI13"/>
      <c r="RDK13"/>
      <c r="RDM13"/>
      <c r="RDO13"/>
      <c r="RDQ13"/>
      <c r="RDS13"/>
      <c r="RDU13"/>
      <c r="RDW13"/>
      <c r="RDY13"/>
      <c r="REA13"/>
      <c r="REC13"/>
      <c r="REE13"/>
      <c r="REG13"/>
      <c r="REI13"/>
      <c r="REK13"/>
      <c r="REM13"/>
      <c r="REO13"/>
      <c r="REQ13"/>
      <c r="RES13"/>
      <c r="REU13"/>
      <c r="REW13"/>
      <c r="REY13"/>
      <c r="RFA13"/>
      <c r="RFC13"/>
      <c r="RFE13"/>
      <c r="RFG13"/>
      <c r="RFI13"/>
      <c r="RFK13"/>
      <c r="RFM13"/>
      <c r="RFO13"/>
      <c r="RFQ13"/>
      <c r="RFS13"/>
      <c r="RFU13"/>
      <c r="RFW13"/>
      <c r="RFY13"/>
      <c r="RGA13"/>
      <c r="RGC13"/>
      <c r="RGE13"/>
      <c r="RGG13"/>
      <c r="RGI13"/>
      <c r="RGK13"/>
      <c r="RGM13"/>
      <c r="RGO13"/>
      <c r="RGQ13"/>
      <c r="RGS13"/>
      <c r="RGU13"/>
      <c r="RGW13"/>
      <c r="RGY13"/>
      <c r="RHA13"/>
      <c r="RHC13"/>
      <c r="RHE13"/>
      <c r="RHG13"/>
      <c r="RHI13"/>
      <c r="RHK13"/>
      <c r="RHM13"/>
      <c r="RHO13"/>
      <c r="RHQ13"/>
      <c r="RHS13"/>
      <c r="RHU13"/>
      <c r="RHW13"/>
      <c r="RHY13"/>
      <c r="RIA13"/>
      <c r="RIC13"/>
      <c r="RIE13"/>
      <c r="RIG13"/>
      <c r="RII13"/>
      <c r="RIK13"/>
      <c r="RIM13"/>
      <c r="RIO13"/>
      <c r="RIQ13"/>
      <c r="RIS13"/>
      <c r="RIU13"/>
      <c r="RIW13"/>
      <c r="RIY13"/>
      <c r="RJA13"/>
      <c r="RJC13"/>
      <c r="RJE13"/>
      <c r="RJG13"/>
      <c r="RJI13"/>
      <c r="RJK13"/>
      <c r="RJM13"/>
      <c r="RJO13"/>
      <c r="RJQ13"/>
      <c r="RJS13"/>
      <c r="RJU13"/>
      <c r="RJW13"/>
      <c r="RJY13"/>
      <c r="RKA13"/>
      <c r="RKC13"/>
      <c r="RKE13"/>
      <c r="RKG13"/>
      <c r="RKI13"/>
      <c r="RKK13"/>
      <c r="RKM13"/>
      <c r="RKO13"/>
      <c r="RKQ13"/>
      <c r="RKS13"/>
      <c r="RKU13"/>
      <c r="RKW13"/>
      <c r="RKY13"/>
      <c r="RLA13"/>
      <c r="RLC13"/>
      <c r="RLE13"/>
      <c r="RLG13"/>
      <c r="RLI13"/>
      <c r="RLK13"/>
      <c r="RLM13"/>
      <c r="RLO13"/>
      <c r="RLQ13"/>
      <c r="RLS13"/>
      <c r="RLU13"/>
      <c r="RLW13"/>
      <c r="RLY13"/>
      <c r="RMA13"/>
      <c r="RMC13"/>
      <c r="RME13"/>
      <c r="RMG13"/>
      <c r="RMI13"/>
      <c r="RMK13"/>
      <c r="RMM13"/>
      <c r="RMO13"/>
      <c r="RMQ13"/>
      <c r="RMS13"/>
      <c r="RMU13"/>
      <c r="RMW13"/>
      <c r="RMY13"/>
      <c r="RNA13"/>
      <c r="RNC13"/>
      <c r="RNE13"/>
      <c r="RNG13"/>
      <c r="RNI13"/>
      <c r="RNK13"/>
      <c r="RNM13"/>
      <c r="RNO13"/>
      <c r="RNQ13"/>
      <c r="RNS13"/>
      <c r="RNU13"/>
      <c r="RNW13"/>
      <c r="RNY13"/>
      <c r="ROA13"/>
      <c r="ROC13"/>
      <c r="ROE13"/>
      <c r="ROG13"/>
      <c r="ROI13"/>
      <c r="ROK13"/>
      <c r="ROM13"/>
      <c r="ROO13"/>
      <c r="ROQ13"/>
      <c r="ROS13"/>
      <c r="ROU13"/>
      <c r="ROW13"/>
      <c r="ROY13"/>
      <c r="RPA13"/>
      <c r="RPC13"/>
      <c r="RPE13"/>
      <c r="RPG13"/>
      <c r="RPI13"/>
      <c r="RPK13"/>
      <c r="RPM13"/>
      <c r="RPO13"/>
      <c r="RPQ13"/>
      <c r="RPS13"/>
      <c r="RPU13"/>
      <c r="RPW13"/>
      <c r="RPY13"/>
      <c r="RQA13"/>
      <c r="RQC13"/>
      <c r="RQE13"/>
      <c r="RQG13"/>
      <c r="RQI13"/>
      <c r="RQK13"/>
      <c r="RQM13"/>
      <c r="RQO13"/>
      <c r="RQQ13"/>
      <c r="RQS13"/>
      <c r="RQU13"/>
      <c r="RQW13"/>
      <c r="RQY13"/>
      <c r="RRA13"/>
      <c r="RRC13"/>
      <c r="RRE13"/>
      <c r="RRG13"/>
      <c r="RRI13"/>
      <c r="RRK13"/>
      <c r="RRM13"/>
      <c r="RRO13"/>
      <c r="RRQ13"/>
      <c r="RRS13"/>
      <c r="RRU13"/>
      <c r="RRW13"/>
      <c r="RRY13"/>
      <c r="RSA13"/>
      <c r="RSC13"/>
      <c r="RSE13"/>
      <c r="RSG13"/>
      <c r="RSI13"/>
      <c r="RSK13"/>
      <c r="RSM13"/>
      <c r="RSO13"/>
      <c r="RSQ13"/>
      <c r="RSS13"/>
      <c r="RSU13"/>
      <c r="RSW13"/>
      <c r="RSY13"/>
      <c r="RTA13"/>
      <c r="RTC13"/>
      <c r="RTE13"/>
      <c r="RTG13"/>
      <c r="RTI13"/>
      <c r="RTK13"/>
      <c r="RTM13"/>
      <c r="RTO13"/>
      <c r="RTQ13"/>
      <c r="RTS13"/>
      <c r="RTU13"/>
      <c r="RTW13"/>
      <c r="RTY13"/>
      <c r="RUA13"/>
      <c r="RUC13"/>
      <c r="RUE13"/>
      <c r="RUG13"/>
      <c r="RUI13"/>
      <c r="RUK13"/>
      <c r="RUM13"/>
      <c r="RUO13"/>
      <c r="RUQ13"/>
      <c r="RUS13"/>
      <c r="RUU13"/>
      <c r="RUW13"/>
      <c r="RUY13"/>
      <c r="RVA13"/>
      <c r="RVC13"/>
      <c r="RVE13"/>
      <c r="RVG13"/>
      <c r="RVI13"/>
      <c r="RVK13"/>
      <c r="RVM13"/>
      <c r="RVO13"/>
      <c r="RVQ13"/>
      <c r="RVS13"/>
      <c r="RVU13"/>
      <c r="RVW13"/>
      <c r="RVY13"/>
      <c r="RWA13"/>
      <c r="RWC13"/>
      <c r="RWE13"/>
      <c r="RWG13"/>
      <c r="RWI13"/>
      <c r="RWK13"/>
      <c r="RWM13"/>
      <c r="RWO13"/>
      <c r="RWQ13"/>
      <c r="RWS13"/>
      <c r="RWU13"/>
      <c r="RWW13"/>
      <c r="RWY13"/>
      <c r="RXA13"/>
      <c r="RXC13"/>
      <c r="RXE13"/>
      <c r="RXG13"/>
      <c r="RXI13"/>
      <c r="RXK13"/>
      <c r="RXM13"/>
      <c r="RXO13"/>
      <c r="RXQ13"/>
      <c r="RXS13"/>
      <c r="RXU13"/>
      <c r="RXW13"/>
      <c r="RXY13"/>
      <c r="RYA13"/>
      <c r="RYC13"/>
      <c r="RYE13"/>
      <c r="RYG13"/>
      <c r="RYI13"/>
      <c r="RYK13"/>
      <c r="RYM13"/>
      <c r="RYO13"/>
      <c r="RYQ13"/>
      <c r="RYS13"/>
      <c r="RYU13"/>
      <c r="RYW13"/>
      <c r="RYY13"/>
      <c r="RZA13"/>
      <c r="RZC13"/>
      <c r="RZE13"/>
      <c r="RZG13"/>
      <c r="RZI13"/>
      <c r="RZK13"/>
      <c r="RZM13"/>
      <c r="RZO13"/>
      <c r="RZQ13"/>
      <c r="RZS13"/>
      <c r="RZU13"/>
      <c r="RZW13"/>
      <c r="RZY13"/>
      <c r="SAA13"/>
      <c r="SAC13"/>
      <c r="SAE13"/>
      <c r="SAG13"/>
      <c r="SAI13"/>
      <c r="SAK13"/>
      <c r="SAM13"/>
      <c r="SAO13"/>
      <c r="SAQ13"/>
      <c r="SAS13"/>
      <c r="SAU13"/>
      <c r="SAW13"/>
      <c r="SAY13"/>
      <c r="SBA13"/>
      <c r="SBC13"/>
      <c r="SBE13"/>
      <c r="SBG13"/>
      <c r="SBI13"/>
      <c r="SBK13"/>
      <c r="SBM13"/>
      <c r="SBO13"/>
      <c r="SBQ13"/>
      <c r="SBS13"/>
      <c r="SBU13"/>
      <c r="SBW13"/>
      <c r="SBY13"/>
      <c r="SCA13"/>
      <c r="SCC13"/>
      <c r="SCE13"/>
      <c r="SCG13"/>
      <c r="SCI13"/>
      <c r="SCK13"/>
      <c r="SCM13"/>
      <c r="SCO13"/>
      <c r="SCQ13"/>
      <c r="SCS13"/>
      <c r="SCU13"/>
      <c r="SCW13"/>
      <c r="SCY13"/>
      <c r="SDA13"/>
      <c r="SDC13"/>
      <c r="SDE13"/>
      <c r="SDG13"/>
      <c r="SDI13"/>
      <c r="SDK13"/>
      <c r="SDM13"/>
      <c r="SDO13"/>
      <c r="SDQ13"/>
      <c r="SDS13"/>
      <c r="SDU13"/>
      <c r="SDW13"/>
      <c r="SDY13"/>
      <c r="SEA13"/>
      <c r="SEC13"/>
      <c r="SEE13"/>
      <c r="SEG13"/>
      <c r="SEI13"/>
      <c r="SEK13"/>
      <c r="SEM13"/>
      <c r="SEO13"/>
      <c r="SEQ13"/>
      <c r="SES13"/>
      <c r="SEU13"/>
      <c r="SEW13"/>
      <c r="SEY13"/>
      <c r="SFA13"/>
      <c r="SFC13"/>
      <c r="SFE13"/>
      <c r="SFG13"/>
      <c r="SFI13"/>
      <c r="SFK13"/>
      <c r="SFM13"/>
      <c r="SFO13"/>
      <c r="SFQ13"/>
      <c r="SFS13"/>
      <c r="SFU13"/>
      <c r="SFW13"/>
      <c r="SFY13"/>
      <c r="SGA13"/>
      <c r="SGC13"/>
      <c r="SGE13"/>
      <c r="SGG13"/>
      <c r="SGI13"/>
      <c r="SGK13"/>
      <c r="SGM13"/>
      <c r="SGO13"/>
      <c r="SGQ13"/>
      <c r="SGS13"/>
      <c r="SGU13"/>
      <c r="SGW13"/>
      <c r="SGY13"/>
      <c r="SHA13"/>
      <c r="SHC13"/>
      <c r="SHE13"/>
      <c r="SHG13"/>
      <c r="SHI13"/>
      <c r="SHK13"/>
      <c r="SHM13"/>
      <c r="SHO13"/>
      <c r="SHQ13"/>
      <c r="SHS13"/>
      <c r="SHU13"/>
      <c r="SHW13"/>
      <c r="SHY13"/>
      <c r="SIA13"/>
      <c r="SIC13"/>
      <c r="SIE13"/>
      <c r="SIG13"/>
      <c r="SII13"/>
      <c r="SIK13"/>
      <c r="SIM13"/>
      <c r="SIO13"/>
      <c r="SIQ13"/>
      <c r="SIS13"/>
      <c r="SIU13"/>
      <c r="SIW13"/>
      <c r="SIY13"/>
      <c r="SJA13"/>
      <c r="SJC13"/>
      <c r="SJE13"/>
      <c r="SJG13"/>
      <c r="SJI13"/>
      <c r="SJK13"/>
      <c r="SJM13"/>
      <c r="SJO13"/>
      <c r="SJQ13"/>
      <c r="SJS13"/>
      <c r="SJU13"/>
      <c r="SJW13"/>
      <c r="SJY13"/>
      <c r="SKA13"/>
      <c r="SKC13"/>
      <c r="SKE13"/>
      <c r="SKG13"/>
      <c r="SKI13"/>
      <c r="SKK13"/>
      <c r="SKM13"/>
      <c r="SKO13"/>
      <c r="SKQ13"/>
      <c r="SKS13"/>
      <c r="SKU13"/>
      <c r="SKW13"/>
      <c r="SKY13"/>
      <c r="SLA13"/>
      <c r="SLC13"/>
      <c r="SLE13"/>
      <c r="SLG13"/>
      <c r="SLI13"/>
      <c r="SLK13"/>
      <c r="SLM13"/>
      <c r="SLO13"/>
      <c r="SLQ13"/>
      <c r="SLS13"/>
      <c r="SLU13"/>
      <c r="SLW13"/>
      <c r="SLY13"/>
      <c r="SMA13"/>
      <c r="SMC13"/>
      <c r="SME13"/>
      <c r="SMG13"/>
      <c r="SMI13"/>
      <c r="SMK13"/>
      <c r="SMM13"/>
      <c r="SMO13"/>
      <c r="SMQ13"/>
      <c r="SMS13"/>
      <c r="SMU13"/>
      <c r="SMW13"/>
      <c r="SMY13"/>
      <c r="SNA13"/>
      <c r="SNC13"/>
      <c r="SNE13"/>
      <c r="SNG13"/>
      <c r="SNI13"/>
      <c r="SNK13"/>
      <c r="SNM13"/>
      <c r="SNO13"/>
      <c r="SNQ13"/>
      <c r="SNS13"/>
      <c r="SNU13"/>
      <c r="SNW13"/>
      <c r="SNY13"/>
      <c r="SOA13"/>
      <c r="SOC13"/>
      <c r="SOE13"/>
      <c r="SOG13"/>
      <c r="SOI13"/>
      <c r="SOK13"/>
      <c r="SOM13"/>
      <c r="SOO13"/>
      <c r="SOQ13"/>
      <c r="SOS13"/>
      <c r="SOU13"/>
      <c r="SOW13"/>
      <c r="SOY13"/>
      <c r="SPA13"/>
      <c r="SPC13"/>
      <c r="SPE13"/>
      <c r="SPG13"/>
      <c r="SPI13"/>
      <c r="SPK13"/>
      <c r="SPM13"/>
      <c r="SPO13"/>
      <c r="SPQ13"/>
      <c r="SPS13"/>
      <c r="SPU13"/>
      <c r="SPW13"/>
      <c r="SPY13"/>
      <c r="SQA13"/>
      <c r="SQC13"/>
      <c r="SQE13"/>
      <c r="SQG13"/>
      <c r="SQI13"/>
      <c r="SQK13"/>
      <c r="SQM13"/>
      <c r="SQO13"/>
      <c r="SQQ13"/>
      <c r="SQS13"/>
      <c r="SQU13"/>
      <c r="SQW13"/>
      <c r="SQY13"/>
      <c r="SRA13"/>
      <c r="SRC13"/>
      <c r="SRE13"/>
      <c r="SRG13"/>
      <c r="SRI13"/>
      <c r="SRK13"/>
      <c r="SRM13"/>
      <c r="SRO13"/>
      <c r="SRQ13"/>
      <c r="SRS13"/>
      <c r="SRU13"/>
      <c r="SRW13"/>
      <c r="SRY13"/>
      <c r="SSA13"/>
      <c r="SSC13"/>
      <c r="SSE13"/>
      <c r="SSG13"/>
      <c r="SSI13"/>
      <c r="SSK13"/>
      <c r="SSM13"/>
      <c r="SSO13"/>
      <c r="SSQ13"/>
      <c r="SSS13"/>
      <c r="SSU13"/>
      <c r="SSW13"/>
      <c r="SSY13"/>
      <c r="STA13"/>
      <c r="STC13"/>
      <c r="STE13"/>
      <c r="STG13"/>
      <c r="STI13"/>
      <c r="STK13"/>
      <c r="STM13"/>
      <c r="STO13"/>
      <c r="STQ13"/>
      <c r="STS13"/>
      <c r="STU13"/>
      <c r="STW13"/>
      <c r="STY13"/>
      <c r="SUA13"/>
      <c r="SUC13"/>
      <c r="SUE13"/>
      <c r="SUG13"/>
      <c r="SUI13"/>
      <c r="SUK13"/>
      <c r="SUM13"/>
      <c r="SUO13"/>
      <c r="SUQ13"/>
      <c r="SUS13"/>
      <c r="SUU13"/>
      <c r="SUW13"/>
      <c r="SUY13"/>
      <c r="SVA13"/>
      <c r="SVC13"/>
      <c r="SVE13"/>
      <c r="SVG13"/>
      <c r="SVI13"/>
      <c r="SVK13"/>
      <c r="SVM13"/>
      <c r="SVO13"/>
      <c r="SVQ13"/>
      <c r="SVS13"/>
      <c r="SVU13"/>
      <c r="SVW13"/>
      <c r="SVY13"/>
      <c r="SWA13"/>
      <c r="SWC13"/>
      <c r="SWE13"/>
      <c r="SWG13"/>
      <c r="SWI13"/>
      <c r="SWK13"/>
      <c r="SWM13"/>
      <c r="SWO13"/>
      <c r="SWQ13"/>
      <c r="SWS13"/>
      <c r="SWU13"/>
      <c r="SWW13"/>
      <c r="SWY13"/>
      <c r="SXA13"/>
      <c r="SXC13"/>
      <c r="SXE13"/>
      <c r="SXG13"/>
      <c r="SXI13"/>
      <c r="SXK13"/>
      <c r="SXM13"/>
      <c r="SXO13"/>
      <c r="SXQ13"/>
      <c r="SXS13"/>
      <c r="SXU13"/>
      <c r="SXW13"/>
      <c r="SXY13"/>
      <c r="SYA13"/>
      <c r="SYC13"/>
      <c r="SYE13"/>
      <c r="SYG13"/>
      <c r="SYI13"/>
      <c r="SYK13"/>
      <c r="SYM13"/>
      <c r="SYO13"/>
      <c r="SYQ13"/>
      <c r="SYS13"/>
      <c r="SYU13"/>
      <c r="SYW13"/>
      <c r="SYY13"/>
      <c r="SZA13"/>
      <c r="SZC13"/>
      <c r="SZE13"/>
      <c r="SZG13"/>
      <c r="SZI13"/>
      <c r="SZK13"/>
      <c r="SZM13"/>
      <c r="SZO13"/>
      <c r="SZQ13"/>
      <c r="SZS13"/>
      <c r="SZU13"/>
      <c r="SZW13"/>
      <c r="SZY13"/>
      <c r="TAA13"/>
      <c r="TAC13"/>
      <c r="TAE13"/>
      <c r="TAG13"/>
      <c r="TAI13"/>
      <c r="TAK13"/>
      <c r="TAM13"/>
      <c r="TAO13"/>
      <c r="TAQ13"/>
      <c r="TAS13"/>
      <c r="TAU13"/>
      <c r="TAW13"/>
      <c r="TAY13"/>
      <c r="TBA13"/>
      <c r="TBC13"/>
      <c r="TBE13"/>
      <c r="TBG13"/>
      <c r="TBI13"/>
      <c r="TBK13"/>
      <c r="TBM13"/>
      <c r="TBO13"/>
      <c r="TBQ13"/>
      <c r="TBS13"/>
      <c r="TBU13"/>
      <c r="TBW13"/>
      <c r="TBY13"/>
      <c r="TCA13"/>
      <c r="TCC13"/>
      <c r="TCE13"/>
      <c r="TCG13"/>
      <c r="TCI13"/>
      <c r="TCK13"/>
      <c r="TCM13"/>
      <c r="TCO13"/>
      <c r="TCQ13"/>
      <c r="TCS13"/>
      <c r="TCU13"/>
      <c r="TCW13"/>
      <c r="TCY13"/>
      <c r="TDA13"/>
      <c r="TDC13"/>
      <c r="TDE13"/>
      <c r="TDG13"/>
      <c r="TDI13"/>
      <c r="TDK13"/>
      <c r="TDM13"/>
      <c r="TDO13"/>
      <c r="TDQ13"/>
      <c r="TDS13"/>
      <c r="TDU13"/>
      <c r="TDW13"/>
      <c r="TDY13"/>
      <c r="TEA13"/>
      <c r="TEC13"/>
      <c r="TEE13"/>
      <c r="TEG13"/>
      <c r="TEI13"/>
      <c r="TEK13"/>
      <c r="TEM13"/>
      <c r="TEO13"/>
      <c r="TEQ13"/>
      <c r="TES13"/>
      <c r="TEU13"/>
      <c r="TEW13"/>
      <c r="TEY13"/>
      <c r="TFA13"/>
      <c r="TFC13"/>
      <c r="TFE13"/>
      <c r="TFG13"/>
      <c r="TFI13"/>
      <c r="TFK13"/>
      <c r="TFM13"/>
      <c r="TFO13"/>
      <c r="TFQ13"/>
      <c r="TFS13"/>
      <c r="TFU13"/>
      <c r="TFW13"/>
      <c r="TFY13"/>
      <c r="TGA13"/>
      <c r="TGC13"/>
      <c r="TGE13"/>
      <c r="TGG13"/>
      <c r="TGI13"/>
      <c r="TGK13"/>
      <c r="TGM13"/>
      <c r="TGO13"/>
      <c r="TGQ13"/>
      <c r="TGS13"/>
      <c r="TGU13"/>
      <c r="TGW13"/>
      <c r="TGY13"/>
      <c r="THA13"/>
      <c r="THC13"/>
      <c r="THE13"/>
      <c r="THG13"/>
      <c r="THI13"/>
      <c r="THK13"/>
      <c r="THM13"/>
      <c r="THO13"/>
      <c r="THQ13"/>
      <c r="THS13"/>
      <c r="THU13"/>
      <c r="THW13"/>
      <c r="THY13"/>
      <c r="TIA13"/>
      <c r="TIC13"/>
      <c r="TIE13"/>
      <c r="TIG13"/>
      <c r="TII13"/>
      <c r="TIK13"/>
      <c r="TIM13"/>
      <c r="TIO13"/>
      <c r="TIQ13"/>
      <c r="TIS13"/>
      <c r="TIU13"/>
      <c r="TIW13"/>
      <c r="TIY13"/>
      <c r="TJA13"/>
      <c r="TJC13"/>
      <c r="TJE13"/>
      <c r="TJG13"/>
      <c r="TJI13"/>
      <c r="TJK13"/>
      <c r="TJM13"/>
      <c r="TJO13"/>
      <c r="TJQ13"/>
      <c r="TJS13"/>
      <c r="TJU13"/>
      <c r="TJW13"/>
      <c r="TJY13"/>
      <c r="TKA13"/>
      <c r="TKC13"/>
      <c r="TKE13"/>
      <c r="TKG13"/>
      <c r="TKI13"/>
      <c r="TKK13"/>
      <c r="TKM13"/>
      <c r="TKO13"/>
      <c r="TKQ13"/>
      <c r="TKS13"/>
      <c r="TKU13"/>
      <c r="TKW13"/>
      <c r="TKY13"/>
      <c r="TLA13"/>
      <c r="TLC13"/>
      <c r="TLE13"/>
      <c r="TLG13"/>
      <c r="TLI13"/>
      <c r="TLK13"/>
      <c r="TLM13"/>
      <c r="TLO13"/>
      <c r="TLQ13"/>
      <c r="TLS13"/>
      <c r="TLU13"/>
      <c r="TLW13"/>
      <c r="TLY13"/>
      <c r="TMA13"/>
      <c r="TMC13"/>
      <c r="TME13"/>
      <c r="TMG13"/>
      <c r="TMI13"/>
      <c r="TMK13"/>
      <c r="TMM13"/>
      <c r="TMO13"/>
      <c r="TMQ13"/>
      <c r="TMS13"/>
      <c r="TMU13"/>
      <c r="TMW13"/>
      <c r="TMY13"/>
      <c r="TNA13"/>
      <c r="TNC13"/>
      <c r="TNE13"/>
      <c r="TNG13"/>
      <c r="TNI13"/>
      <c r="TNK13"/>
      <c r="TNM13"/>
      <c r="TNO13"/>
      <c r="TNQ13"/>
      <c r="TNS13"/>
      <c r="TNU13"/>
      <c r="TNW13"/>
      <c r="TNY13"/>
      <c r="TOA13"/>
      <c r="TOC13"/>
      <c r="TOE13"/>
      <c r="TOG13"/>
      <c r="TOI13"/>
      <c r="TOK13"/>
      <c r="TOM13"/>
      <c r="TOO13"/>
      <c r="TOQ13"/>
      <c r="TOS13"/>
      <c r="TOU13"/>
      <c r="TOW13"/>
      <c r="TOY13"/>
      <c r="TPA13"/>
      <c r="TPC13"/>
      <c r="TPE13"/>
      <c r="TPG13"/>
      <c r="TPI13"/>
      <c r="TPK13"/>
      <c r="TPM13"/>
      <c r="TPO13"/>
      <c r="TPQ13"/>
      <c r="TPS13"/>
      <c r="TPU13"/>
      <c r="TPW13"/>
      <c r="TPY13"/>
      <c r="TQA13"/>
      <c r="TQC13"/>
      <c r="TQE13"/>
      <c r="TQG13"/>
      <c r="TQI13"/>
      <c r="TQK13"/>
      <c r="TQM13"/>
      <c r="TQO13"/>
      <c r="TQQ13"/>
      <c r="TQS13"/>
      <c r="TQU13"/>
      <c r="TQW13"/>
      <c r="TQY13"/>
      <c r="TRA13"/>
      <c r="TRC13"/>
      <c r="TRE13"/>
      <c r="TRG13"/>
      <c r="TRI13"/>
      <c r="TRK13"/>
      <c r="TRM13"/>
      <c r="TRO13"/>
      <c r="TRQ13"/>
      <c r="TRS13"/>
      <c r="TRU13"/>
      <c r="TRW13"/>
      <c r="TRY13"/>
      <c r="TSA13"/>
      <c r="TSC13"/>
      <c r="TSE13"/>
      <c r="TSG13"/>
      <c r="TSI13"/>
      <c r="TSK13"/>
      <c r="TSM13"/>
      <c r="TSO13"/>
      <c r="TSQ13"/>
      <c r="TSS13"/>
      <c r="TSU13"/>
      <c r="TSW13"/>
      <c r="TSY13"/>
      <c r="TTA13"/>
      <c r="TTC13"/>
      <c r="TTE13"/>
      <c r="TTG13"/>
      <c r="TTI13"/>
      <c r="TTK13"/>
      <c r="TTM13"/>
      <c r="TTO13"/>
      <c r="TTQ13"/>
      <c r="TTS13"/>
      <c r="TTU13"/>
      <c r="TTW13"/>
      <c r="TTY13"/>
      <c r="TUA13"/>
      <c r="TUC13"/>
      <c r="TUE13"/>
      <c r="TUG13"/>
      <c r="TUI13"/>
      <c r="TUK13"/>
      <c r="TUM13"/>
      <c r="TUO13"/>
      <c r="TUQ13"/>
      <c r="TUS13"/>
      <c r="TUU13"/>
      <c r="TUW13"/>
      <c r="TUY13"/>
      <c r="TVA13"/>
      <c r="TVC13"/>
      <c r="TVE13"/>
      <c r="TVG13"/>
      <c r="TVI13"/>
      <c r="TVK13"/>
      <c r="TVM13"/>
      <c r="TVO13"/>
      <c r="TVQ13"/>
      <c r="TVS13"/>
      <c r="TVU13"/>
      <c r="TVW13"/>
      <c r="TVY13"/>
      <c r="TWA13"/>
      <c r="TWC13"/>
      <c r="TWE13"/>
      <c r="TWG13"/>
      <c r="TWI13"/>
      <c r="TWK13"/>
      <c r="TWM13"/>
      <c r="TWO13"/>
      <c r="TWQ13"/>
      <c r="TWS13"/>
      <c r="TWU13"/>
      <c r="TWW13"/>
      <c r="TWY13"/>
      <c r="TXA13"/>
      <c r="TXC13"/>
      <c r="TXE13"/>
      <c r="TXG13"/>
      <c r="TXI13"/>
      <c r="TXK13"/>
      <c r="TXM13"/>
      <c r="TXO13"/>
      <c r="TXQ13"/>
      <c r="TXS13"/>
      <c r="TXU13"/>
      <c r="TXW13"/>
      <c r="TXY13"/>
      <c r="TYA13"/>
      <c r="TYC13"/>
      <c r="TYE13"/>
      <c r="TYG13"/>
      <c r="TYI13"/>
      <c r="TYK13"/>
      <c r="TYM13"/>
      <c r="TYO13"/>
      <c r="TYQ13"/>
      <c r="TYS13"/>
      <c r="TYU13"/>
      <c r="TYW13"/>
      <c r="TYY13"/>
      <c r="TZA13"/>
      <c r="TZC13"/>
      <c r="TZE13"/>
      <c r="TZG13"/>
      <c r="TZI13"/>
      <c r="TZK13"/>
      <c r="TZM13"/>
      <c r="TZO13"/>
      <c r="TZQ13"/>
      <c r="TZS13"/>
      <c r="TZU13"/>
      <c r="TZW13"/>
      <c r="TZY13"/>
      <c r="UAA13"/>
      <c r="UAC13"/>
      <c r="UAE13"/>
      <c r="UAG13"/>
      <c r="UAI13"/>
      <c r="UAK13"/>
      <c r="UAM13"/>
      <c r="UAO13"/>
      <c r="UAQ13"/>
      <c r="UAS13"/>
      <c r="UAU13"/>
      <c r="UAW13"/>
      <c r="UAY13"/>
      <c r="UBA13"/>
      <c r="UBC13"/>
      <c r="UBE13"/>
      <c r="UBG13"/>
      <c r="UBI13"/>
      <c r="UBK13"/>
      <c r="UBM13"/>
      <c r="UBO13"/>
      <c r="UBQ13"/>
      <c r="UBS13"/>
      <c r="UBU13"/>
      <c r="UBW13"/>
      <c r="UBY13"/>
      <c r="UCA13"/>
      <c r="UCC13"/>
      <c r="UCE13"/>
      <c r="UCG13"/>
      <c r="UCI13"/>
      <c r="UCK13"/>
      <c r="UCM13"/>
      <c r="UCO13"/>
      <c r="UCQ13"/>
      <c r="UCS13"/>
      <c r="UCU13"/>
      <c r="UCW13"/>
      <c r="UCY13"/>
      <c r="UDA13"/>
      <c r="UDC13"/>
      <c r="UDE13"/>
      <c r="UDG13"/>
      <c r="UDI13"/>
      <c r="UDK13"/>
      <c r="UDM13"/>
      <c r="UDO13"/>
      <c r="UDQ13"/>
      <c r="UDS13"/>
      <c r="UDU13"/>
      <c r="UDW13"/>
      <c r="UDY13"/>
      <c r="UEA13"/>
      <c r="UEC13"/>
      <c r="UEE13"/>
      <c r="UEG13"/>
      <c r="UEI13"/>
      <c r="UEK13"/>
      <c r="UEM13"/>
      <c r="UEO13"/>
      <c r="UEQ13"/>
      <c r="UES13"/>
      <c r="UEU13"/>
      <c r="UEW13"/>
      <c r="UEY13"/>
      <c r="UFA13"/>
      <c r="UFC13"/>
      <c r="UFE13"/>
      <c r="UFG13"/>
      <c r="UFI13"/>
      <c r="UFK13"/>
      <c r="UFM13"/>
      <c r="UFO13"/>
      <c r="UFQ13"/>
      <c r="UFS13"/>
      <c r="UFU13"/>
      <c r="UFW13"/>
      <c r="UFY13"/>
      <c r="UGA13"/>
      <c r="UGC13"/>
      <c r="UGE13"/>
      <c r="UGG13"/>
      <c r="UGI13"/>
      <c r="UGK13"/>
      <c r="UGM13"/>
      <c r="UGO13"/>
      <c r="UGQ13"/>
      <c r="UGS13"/>
      <c r="UGU13"/>
      <c r="UGW13"/>
      <c r="UGY13"/>
      <c r="UHA13"/>
      <c r="UHC13"/>
      <c r="UHE13"/>
      <c r="UHG13"/>
      <c r="UHI13"/>
      <c r="UHK13"/>
      <c r="UHM13"/>
      <c r="UHO13"/>
      <c r="UHQ13"/>
      <c r="UHS13"/>
      <c r="UHU13"/>
      <c r="UHW13"/>
      <c r="UHY13"/>
      <c r="UIA13"/>
      <c r="UIC13"/>
      <c r="UIE13"/>
      <c r="UIG13"/>
      <c r="UII13"/>
      <c r="UIK13"/>
      <c r="UIM13"/>
      <c r="UIO13"/>
      <c r="UIQ13"/>
      <c r="UIS13"/>
      <c r="UIU13"/>
      <c r="UIW13"/>
      <c r="UIY13"/>
      <c r="UJA13"/>
      <c r="UJC13"/>
      <c r="UJE13"/>
      <c r="UJG13"/>
      <c r="UJI13"/>
      <c r="UJK13"/>
      <c r="UJM13"/>
      <c r="UJO13"/>
      <c r="UJQ13"/>
      <c r="UJS13"/>
      <c r="UJU13"/>
      <c r="UJW13"/>
      <c r="UJY13"/>
      <c r="UKA13"/>
      <c r="UKC13"/>
      <c r="UKE13"/>
      <c r="UKG13"/>
      <c r="UKI13"/>
      <c r="UKK13"/>
      <c r="UKM13"/>
      <c r="UKO13"/>
      <c r="UKQ13"/>
      <c r="UKS13"/>
      <c r="UKU13"/>
      <c r="UKW13"/>
      <c r="UKY13"/>
      <c r="ULA13"/>
      <c r="ULC13"/>
      <c r="ULE13"/>
      <c r="ULG13"/>
      <c r="ULI13"/>
      <c r="ULK13"/>
      <c r="ULM13"/>
      <c r="ULO13"/>
      <c r="ULQ13"/>
      <c r="ULS13"/>
      <c r="ULU13"/>
      <c r="ULW13"/>
      <c r="ULY13"/>
      <c r="UMA13"/>
      <c r="UMC13"/>
      <c r="UME13"/>
      <c r="UMG13"/>
      <c r="UMI13"/>
      <c r="UMK13"/>
      <c r="UMM13"/>
      <c r="UMO13"/>
      <c r="UMQ13"/>
      <c r="UMS13"/>
      <c r="UMU13"/>
      <c r="UMW13"/>
      <c r="UMY13"/>
      <c r="UNA13"/>
      <c r="UNC13"/>
      <c r="UNE13"/>
      <c r="UNG13"/>
      <c r="UNI13"/>
      <c r="UNK13"/>
      <c r="UNM13"/>
      <c r="UNO13"/>
      <c r="UNQ13"/>
      <c r="UNS13"/>
      <c r="UNU13"/>
      <c r="UNW13"/>
      <c r="UNY13"/>
      <c r="UOA13"/>
      <c r="UOC13"/>
      <c r="UOE13"/>
      <c r="UOG13"/>
      <c r="UOI13"/>
      <c r="UOK13"/>
      <c r="UOM13"/>
      <c r="UOO13"/>
      <c r="UOQ13"/>
      <c r="UOS13"/>
      <c r="UOU13"/>
      <c r="UOW13"/>
      <c r="UOY13"/>
      <c r="UPA13"/>
      <c r="UPC13"/>
      <c r="UPE13"/>
      <c r="UPG13"/>
      <c r="UPI13"/>
      <c r="UPK13"/>
      <c r="UPM13"/>
      <c r="UPO13"/>
      <c r="UPQ13"/>
      <c r="UPS13"/>
      <c r="UPU13"/>
      <c r="UPW13"/>
      <c r="UPY13"/>
      <c r="UQA13"/>
      <c r="UQC13"/>
      <c r="UQE13"/>
      <c r="UQG13"/>
      <c r="UQI13"/>
      <c r="UQK13"/>
      <c r="UQM13"/>
      <c r="UQO13"/>
      <c r="UQQ13"/>
      <c r="UQS13"/>
      <c r="UQU13"/>
      <c r="UQW13"/>
      <c r="UQY13"/>
      <c r="URA13"/>
      <c r="URC13"/>
      <c r="URE13"/>
      <c r="URG13"/>
      <c r="URI13"/>
      <c r="URK13"/>
      <c r="URM13"/>
      <c r="URO13"/>
      <c r="URQ13"/>
      <c r="URS13"/>
      <c r="URU13"/>
      <c r="URW13"/>
      <c r="URY13"/>
      <c r="USA13"/>
      <c r="USC13"/>
      <c r="USE13"/>
      <c r="USG13"/>
      <c r="USI13"/>
      <c r="USK13"/>
      <c r="USM13"/>
      <c r="USO13"/>
      <c r="USQ13"/>
      <c r="USS13"/>
      <c r="USU13"/>
      <c r="USW13"/>
      <c r="USY13"/>
      <c r="UTA13"/>
      <c r="UTC13"/>
      <c r="UTE13"/>
      <c r="UTG13"/>
      <c r="UTI13"/>
      <c r="UTK13"/>
      <c r="UTM13"/>
      <c r="UTO13"/>
      <c r="UTQ13"/>
      <c r="UTS13"/>
      <c r="UTU13"/>
      <c r="UTW13"/>
      <c r="UTY13"/>
      <c r="UUA13"/>
      <c r="UUC13"/>
      <c r="UUE13"/>
      <c r="UUG13"/>
      <c r="UUI13"/>
      <c r="UUK13"/>
      <c r="UUM13"/>
      <c r="UUO13"/>
      <c r="UUQ13"/>
      <c r="UUS13"/>
      <c r="UUU13"/>
      <c r="UUW13"/>
      <c r="UUY13"/>
      <c r="UVA13"/>
      <c r="UVC13"/>
      <c r="UVE13"/>
      <c r="UVG13"/>
      <c r="UVI13"/>
      <c r="UVK13"/>
      <c r="UVM13"/>
      <c r="UVO13"/>
      <c r="UVQ13"/>
      <c r="UVS13"/>
      <c r="UVU13"/>
      <c r="UVW13"/>
      <c r="UVY13"/>
      <c r="UWA13"/>
      <c r="UWC13"/>
      <c r="UWE13"/>
      <c r="UWG13"/>
      <c r="UWI13"/>
      <c r="UWK13"/>
      <c r="UWM13"/>
      <c r="UWO13"/>
      <c r="UWQ13"/>
      <c r="UWS13"/>
      <c r="UWU13"/>
      <c r="UWW13"/>
      <c r="UWY13"/>
      <c r="UXA13"/>
      <c r="UXC13"/>
      <c r="UXE13"/>
      <c r="UXG13"/>
      <c r="UXI13"/>
      <c r="UXK13"/>
      <c r="UXM13"/>
      <c r="UXO13"/>
      <c r="UXQ13"/>
      <c r="UXS13"/>
      <c r="UXU13"/>
      <c r="UXW13"/>
      <c r="UXY13"/>
      <c r="UYA13"/>
      <c r="UYC13"/>
      <c r="UYE13"/>
      <c r="UYG13"/>
      <c r="UYI13"/>
      <c r="UYK13"/>
      <c r="UYM13"/>
      <c r="UYO13"/>
      <c r="UYQ13"/>
      <c r="UYS13"/>
      <c r="UYU13"/>
      <c r="UYW13"/>
      <c r="UYY13"/>
      <c r="UZA13"/>
      <c r="UZC13"/>
      <c r="UZE13"/>
      <c r="UZG13"/>
      <c r="UZI13"/>
      <c r="UZK13"/>
      <c r="UZM13"/>
      <c r="UZO13"/>
      <c r="UZQ13"/>
      <c r="UZS13"/>
      <c r="UZU13"/>
      <c r="UZW13"/>
      <c r="UZY13"/>
      <c r="VAA13"/>
      <c r="VAC13"/>
      <c r="VAE13"/>
      <c r="VAG13"/>
      <c r="VAI13"/>
      <c r="VAK13"/>
      <c r="VAM13"/>
      <c r="VAO13"/>
      <c r="VAQ13"/>
      <c r="VAS13"/>
      <c r="VAU13"/>
      <c r="VAW13"/>
      <c r="VAY13"/>
      <c r="VBA13"/>
      <c r="VBC13"/>
      <c r="VBE13"/>
      <c r="VBG13"/>
      <c r="VBI13"/>
      <c r="VBK13"/>
      <c r="VBM13"/>
      <c r="VBO13"/>
      <c r="VBQ13"/>
      <c r="VBS13"/>
      <c r="VBU13"/>
      <c r="VBW13"/>
      <c r="VBY13"/>
      <c r="VCA13"/>
      <c r="VCC13"/>
      <c r="VCE13"/>
      <c r="VCG13"/>
      <c r="VCI13"/>
      <c r="VCK13"/>
      <c r="VCM13"/>
      <c r="VCO13"/>
      <c r="VCQ13"/>
      <c r="VCS13"/>
      <c r="VCU13"/>
      <c r="VCW13"/>
      <c r="VCY13"/>
      <c r="VDA13"/>
      <c r="VDC13"/>
      <c r="VDE13"/>
      <c r="VDG13"/>
      <c r="VDI13"/>
      <c r="VDK13"/>
      <c r="VDM13"/>
      <c r="VDO13"/>
      <c r="VDQ13"/>
      <c r="VDS13"/>
      <c r="VDU13"/>
      <c r="VDW13"/>
      <c r="VDY13"/>
      <c r="VEA13"/>
      <c r="VEC13"/>
      <c r="VEE13"/>
      <c r="VEG13"/>
      <c r="VEI13"/>
      <c r="VEK13"/>
      <c r="VEM13"/>
      <c r="VEO13"/>
      <c r="VEQ13"/>
      <c r="VES13"/>
      <c r="VEU13"/>
      <c r="VEW13"/>
      <c r="VEY13"/>
      <c r="VFA13"/>
      <c r="VFC13"/>
      <c r="VFE13"/>
      <c r="VFG13"/>
      <c r="VFI13"/>
      <c r="VFK13"/>
      <c r="VFM13"/>
      <c r="VFO13"/>
      <c r="VFQ13"/>
      <c r="VFS13"/>
      <c r="VFU13"/>
      <c r="VFW13"/>
      <c r="VFY13"/>
      <c r="VGA13"/>
      <c r="VGC13"/>
      <c r="VGE13"/>
      <c r="VGG13"/>
      <c r="VGI13"/>
      <c r="VGK13"/>
      <c r="VGM13"/>
      <c r="VGO13"/>
      <c r="VGQ13"/>
      <c r="VGS13"/>
      <c r="VGU13"/>
      <c r="VGW13"/>
      <c r="VGY13"/>
      <c r="VHA13"/>
      <c r="VHC13"/>
      <c r="VHE13"/>
      <c r="VHG13"/>
      <c r="VHI13"/>
      <c r="VHK13"/>
      <c r="VHM13"/>
      <c r="VHO13"/>
      <c r="VHQ13"/>
      <c r="VHS13"/>
      <c r="VHU13"/>
      <c r="VHW13"/>
      <c r="VHY13"/>
      <c r="VIA13"/>
      <c r="VIC13"/>
      <c r="VIE13"/>
      <c r="VIG13"/>
      <c r="VII13"/>
      <c r="VIK13"/>
      <c r="VIM13"/>
      <c r="VIO13"/>
      <c r="VIQ13"/>
      <c r="VIS13"/>
      <c r="VIU13"/>
      <c r="VIW13"/>
      <c r="VIY13"/>
      <c r="VJA13"/>
      <c r="VJC13"/>
      <c r="VJE13"/>
      <c r="VJG13"/>
      <c r="VJI13"/>
      <c r="VJK13"/>
      <c r="VJM13"/>
      <c r="VJO13"/>
      <c r="VJQ13"/>
      <c r="VJS13"/>
      <c r="VJU13"/>
      <c r="VJW13"/>
      <c r="VJY13"/>
      <c r="VKA13"/>
      <c r="VKC13"/>
      <c r="VKE13"/>
      <c r="VKG13"/>
      <c r="VKI13"/>
      <c r="VKK13"/>
      <c r="VKM13"/>
      <c r="VKO13"/>
      <c r="VKQ13"/>
      <c r="VKS13"/>
      <c r="VKU13"/>
      <c r="VKW13"/>
      <c r="VKY13"/>
      <c r="VLA13"/>
      <c r="VLC13"/>
      <c r="VLE13"/>
      <c r="VLG13"/>
      <c r="VLI13"/>
      <c r="VLK13"/>
      <c r="VLM13"/>
      <c r="VLO13"/>
      <c r="VLQ13"/>
      <c r="VLS13"/>
      <c r="VLU13"/>
      <c r="VLW13"/>
      <c r="VLY13"/>
      <c r="VMA13"/>
      <c r="VMC13"/>
      <c r="VME13"/>
      <c r="VMG13"/>
      <c r="VMI13"/>
      <c r="VMK13"/>
      <c r="VMM13"/>
      <c r="VMO13"/>
      <c r="VMQ13"/>
      <c r="VMS13"/>
      <c r="VMU13"/>
      <c r="VMW13"/>
      <c r="VMY13"/>
      <c r="VNA13"/>
      <c r="VNC13"/>
      <c r="VNE13"/>
      <c r="VNG13"/>
      <c r="VNI13"/>
      <c r="VNK13"/>
      <c r="VNM13"/>
      <c r="VNO13"/>
      <c r="VNQ13"/>
      <c r="VNS13"/>
      <c r="VNU13"/>
      <c r="VNW13"/>
      <c r="VNY13"/>
      <c r="VOA13"/>
      <c r="VOC13"/>
      <c r="VOE13"/>
      <c r="VOG13"/>
      <c r="VOI13"/>
      <c r="VOK13"/>
      <c r="VOM13"/>
      <c r="VOO13"/>
      <c r="VOQ13"/>
      <c r="VOS13"/>
      <c r="VOU13"/>
      <c r="VOW13"/>
      <c r="VOY13"/>
      <c r="VPA13"/>
      <c r="VPC13"/>
      <c r="VPE13"/>
      <c r="VPG13"/>
      <c r="VPI13"/>
      <c r="VPK13"/>
      <c r="VPM13"/>
      <c r="VPO13"/>
      <c r="VPQ13"/>
      <c r="VPS13"/>
      <c r="VPU13"/>
      <c r="VPW13"/>
      <c r="VPY13"/>
      <c r="VQA13"/>
      <c r="VQC13"/>
      <c r="VQE13"/>
      <c r="VQG13"/>
      <c r="VQI13"/>
      <c r="VQK13"/>
      <c r="VQM13"/>
      <c r="VQO13"/>
      <c r="VQQ13"/>
      <c r="VQS13"/>
      <c r="VQU13"/>
      <c r="VQW13"/>
      <c r="VQY13"/>
      <c r="VRA13"/>
      <c r="VRC13"/>
      <c r="VRE13"/>
      <c r="VRG13"/>
      <c r="VRI13"/>
      <c r="VRK13"/>
      <c r="VRM13"/>
      <c r="VRO13"/>
      <c r="VRQ13"/>
      <c r="VRS13"/>
      <c r="VRU13"/>
      <c r="VRW13"/>
      <c r="VRY13"/>
      <c r="VSA13"/>
      <c r="VSC13"/>
      <c r="VSE13"/>
      <c r="VSG13"/>
      <c r="VSI13"/>
      <c r="VSK13"/>
      <c r="VSM13"/>
      <c r="VSO13"/>
      <c r="VSQ13"/>
      <c r="VSS13"/>
      <c r="VSU13"/>
      <c r="VSW13"/>
      <c r="VSY13"/>
      <c r="VTA13"/>
      <c r="VTC13"/>
      <c r="VTE13"/>
      <c r="VTG13"/>
      <c r="VTI13"/>
      <c r="VTK13"/>
      <c r="VTM13"/>
      <c r="VTO13"/>
      <c r="VTQ13"/>
      <c r="VTS13"/>
      <c r="VTU13"/>
      <c r="VTW13"/>
      <c r="VTY13"/>
      <c r="VUA13"/>
      <c r="VUC13"/>
      <c r="VUE13"/>
      <c r="VUG13"/>
      <c r="VUI13"/>
      <c r="VUK13"/>
      <c r="VUM13"/>
      <c r="VUO13"/>
      <c r="VUQ13"/>
      <c r="VUS13"/>
      <c r="VUU13"/>
      <c r="VUW13"/>
      <c r="VUY13"/>
      <c r="VVA13"/>
      <c r="VVC13"/>
      <c r="VVE13"/>
      <c r="VVG13"/>
      <c r="VVI13"/>
      <c r="VVK13"/>
      <c r="VVM13"/>
      <c r="VVO13"/>
      <c r="VVQ13"/>
      <c r="VVS13"/>
      <c r="VVU13"/>
      <c r="VVW13"/>
      <c r="VVY13"/>
      <c r="VWA13"/>
      <c r="VWC13"/>
      <c r="VWE13"/>
      <c r="VWG13"/>
      <c r="VWI13"/>
      <c r="VWK13"/>
      <c r="VWM13"/>
      <c r="VWO13"/>
      <c r="VWQ13"/>
      <c r="VWS13"/>
      <c r="VWU13"/>
      <c r="VWW13"/>
      <c r="VWY13"/>
      <c r="VXA13"/>
      <c r="VXC13"/>
      <c r="VXE13"/>
      <c r="VXG13"/>
      <c r="VXI13"/>
      <c r="VXK13"/>
      <c r="VXM13"/>
      <c r="VXO13"/>
      <c r="VXQ13"/>
      <c r="VXS13"/>
      <c r="VXU13"/>
      <c r="VXW13"/>
      <c r="VXY13"/>
      <c r="VYA13"/>
      <c r="VYC13"/>
      <c r="VYE13"/>
      <c r="VYG13"/>
      <c r="VYI13"/>
      <c r="VYK13"/>
      <c r="VYM13"/>
      <c r="VYO13"/>
      <c r="VYQ13"/>
      <c r="VYS13"/>
      <c r="VYU13"/>
      <c r="VYW13"/>
      <c r="VYY13"/>
      <c r="VZA13"/>
      <c r="VZC13"/>
      <c r="VZE13"/>
      <c r="VZG13"/>
      <c r="VZI13"/>
      <c r="VZK13"/>
      <c r="VZM13"/>
      <c r="VZO13"/>
      <c r="VZQ13"/>
      <c r="VZS13"/>
      <c r="VZU13"/>
      <c r="VZW13"/>
      <c r="VZY13"/>
      <c r="WAA13"/>
      <c r="WAC13"/>
      <c r="WAE13"/>
      <c r="WAG13"/>
      <c r="WAI13"/>
      <c r="WAK13"/>
      <c r="WAM13"/>
      <c r="WAO13"/>
      <c r="WAQ13"/>
      <c r="WAS13"/>
      <c r="WAU13"/>
      <c r="WAW13"/>
      <c r="WAY13"/>
      <c r="WBA13"/>
      <c r="WBC13"/>
      <c r="WBE13"/>
      <c r="WBG13"/>
      <c r="WBI13"/>
      <c r="WBK13"/>
      <c r="WBM13"/>
      <c r="WBO13"/>
      <c r="WBQ13"/>
      <c r="WBS13"/>
      <c r="WBU13"/>
      <c r="WBW13"/>
      <c r="WBY13"/>
      <c r="WCA13"/>
      <c r="WCC13"/>
      <c r="WCE13"/>
      <c r="WCG13"/>
      <c r="WCI13"/>
      <c r="WCK13"/>
      <c r="WCM13"/>
      <c r="WCO13"/>
      <c r="WCQ13"/>
      <c r="WCS13"/>
      <c r="WCU13"/>
      <c r="WCW13"/>
      <c r="WCY13"/>
      <c r="WDA13"/>
      <c r="WDC13"/>
      <c r="WDE13"/>
      <c r="WDG13"/>
      <c r="WDI13"/>
      <c r="WDK13"/>
      <c r="WDM13"/>
      <c r="WDO13"/>
      <c r="WDQ13"/>
      <c r="WDS13"/>
      <c r="WDU13"/>
      <c r="WDW13"/>
      <c r="WDY13"/>
      <c r="WEA13"/>
      <c r="WEC13"/>
      <c r="WEE13"/>
      <c r="WEG13"/>
      <c r="WEI13"/>
      <c r="WEK13"/>
      <c r="WEM13"/>
      <c r="WEO13"/>
      <c r="WEQ13"/>
      <c r="WES13"/>
      <c r="WEU13"/>
      <c r="WEW13"/>
      <c r="WEY13"/>
      <c r="WFA13"/>
      <c r="WFC13"/>
      <c r="WFE13"/>
      <c r="WFG13"/>
      <c r="WFI13"/>
      <c r="WFK13"/>
      <c r="WFM13"/>
      <c r="WFO13"/>
      <c r="WFQ13"/>
      <c r="WFS13"/>
      <c r="WFU13"/>
      <c r="WFW13"/>
      <c r="WFY13"/>
      <c r="WGA13"/>
      <c r="WGC13"/>
      <c r="WGE13"/>
      <c r="WGG13"/>
      <c r="WGI13"/>
      <c r="WGK13"/>
      <c r="WGM13"/>
      <c r="WGO13"/>
      <c r="WGQ13"/>
      <c r="WGS13"/>
      <c r="WGU13"/>
      <c r="WGW13"/>
      <c r="WGY13"/>
      <c r="WHA13"/>
      <c r="WHC13"/>
      <c r="WHE13"/>
      <c r="WHG13"/>
      <c r="WHI13"/>
      <c r="WHK13"/>
      <c r="WHM13"/>
      <c r="WHO13"/>
      <c r="WHQ13"/>
      <c r="WHS13"/>
      <c r="WHU13"/>
      <c r="WHW13"/>
      <c r="WHY13"/>
      <c r="WIA13"/>
      <c r="WIC13"/>
      <c r="WIE13"/>
      <c r="WIG13"/>
      <c r="WII13"/>
      <c r="WIK13"/>
      <c r="WIM13"/>
      <c r="WIO13"/>
      <c r="WIQ13"/>
      <c r="WIS13"/>
      <c r="WIU13"/>
      <c r="WIW13"/>
      <c r="WIY13"/>
      <c r="WJA13"/>
      <c r="WJC13"/>
      <c r="WJE13"/>
      <c r="WJG13"/>
      <c r="WJI13"/>
      <c r="WJK13"/>
      <c r="WJM13"/>
      <c r="WJO13"/>
      <c r="WJQ13"/>
      <c r="WJS13"/>
      <c r="WJU13"/>
      <c r="WJW13"/>
      <c r="WJY13"/>
      <c r="WKA13"/>
      <c r="WKC13"/>
      <c r="WKE13"/>
      <c r="WKG13"/>
      <c r="WKI13"/>
      <c r="WKK13"/>
      <c r="WKM13"/>
      <c r="WKO13"/>
      <c r="WKQ13"/>
      <c r="WKS13"/>
      <c r="WKU13"/>
      <c r="WKW13"/>
      <c r="WKY13"/>
      <c r="WLA13"/>
      <c r="WLC13"/>
      <c r="WLE13"/>
      <c r="WLG13"/>
      <c r="WLI13"/>
      <c r="WLK13"/>
      <c r="WLM13"/>
      <c r="WLO13"/>
      <c r="WLQ13"/>
      <c r="WLS13"/>
      <c r="WLU13"/>
      <c r="WLW13"/>
      <c r="WLY13"/>
      <c r="WMA13"/>
      <c r="WMC13"/>
      <c r="WME13"/>
      <c r="WMG13"/>
      <c r="WMI13"/>
      <c r="WMK13"/>
      <c r="WMM13"/>
      <c r="WMO13"/>
      <c r="WMQ13"/>
      <c r="WMS13"/>
      <c r="WMU13"/>
      <c r="WMW13"/>
      <c r="WMY13"/>
      <c r="WNA13"/>
      <c r="WNC13"/>
      <c r="WNE13"/>
      <c r="WNG13"/>
      <c r="WNI13"/>
      <c r="WNK13"/>
      <c r="WNM13"/>
      <c r="WNO13"/>
      <c r="WNQ13"/>
      <c r="WNS13"/>
      <c r="WNU13"/>
      <c r="WNW13"/>
      <c r="WNY13"/>
      <c r="WOA13"/>
      <c r="WOC13"/>
      <c r="WOE13"/>
      <c r="WOG13"/>
      <c r="WOI13"/>
      <c r="WOK13"/>
      <c r="WOM13"/>
      <c r="WOO13"/>
      <c r="WOQ13"/>
      <c r="WOS13"/>
      <c r="WOU13"/>
      <c r="WOW13"/>
      <c r="WOY13"/>
      <c r="WPA13"/>
      <c r="WPC13"/>
      <c r="WPE13"/>
      <c r="WPG13"/>
      <c r="WPI13"/>
      <c r="WPK13"/>
      <c r="WPM13"/>
      <c r="WPO13"/>
      <c r="WPQ13"/>
      <c r="WPS13"/>
      <c r="WPU13"/>
      <c r="WPW13"/>
      <c r="WPY13"/>
      <c r="WQA13"/>
      <c r="WQC13"/>
      <c r="WQE13"/>
      <c r="WQG13"/>
      <c r="WQI13"/>
      <c r="WQK13"/>
      <c r="WQM13"/>
      <c r="WQO13"/>
      <c r="WQQ13"/>
      <c r="WQS13"/>
      <c r="WQU13"/>
      <c r="WQW13"/>
      <c r="WQY13"/>
      <c r="WRA13"/>
      <c r="WRC13"/>
      <c r="WRE13"/>
      <c r="WRG13"/>
      <c r="WRI13"/>
      <c r="WRK13"/>
      <c r="WRM13"/>
      <c r="WRO13"/>
      <c r="WRQ13"/>
      <c r="WRS13"/>
      <c r="WRU13"/>
      <c r="WRW13"/>
      <c r="WRY13"/>
      <c r="WSA13"/>
      <c r="WSC13"/>
      <c r="WSE13"/>
      <c r="WSG13"/>
      <c r="WSI13"/>
      <c r="WSK13"/>
      <c r="WSM13"/>
      <c r="WSO13"/>
      <c r="WSQ13"/>
      <c r="WSS13"/>
      <c r="WSU13"/>
      <c r="WSW13"/>
      <c r="WSY13"/>
      <c r="WTA13"/>
      <c r="WTC13"/>
      <c r="WTE13"/>
      <c r="WTG13"/>
      <c r="WTI13"/>
      <c r="WTK13"/>
      <c r="WTM13"/>
      <c r="WTO13"/>
      <c r="WTQ13"/>
      <c r="WTS13"/>
      <c r="WTU13"/>
      <c r="WTW13"/>
      <c r="WTY13"/>
      <c r="WUA13"/>
      <c r="WUC13"/>
      <c r="WUE13"/>
      <c r="WUG13"/>
      <c r="WUI13"/>
      <c r="WUK13"/>
      <c r="WUM13"/>
      <c r="WUO13"/>
      <c r="WUQ13"/>
      <c r="WUS13"/>
      <c r="WUU13"/>
      <c r="WUW13"/>
      <c r="WUY13"/>
      <c r="WVA13"/>
      <c r="WVC13"/>
      <c r="WVE13"/>
      <c r="WVG13"/>
      <c r="WVI13"/>
      <c r="WVK13"/>
      <c r="WVM13"/>
      <c r="WVO13"/>
      <c r="WVQ13"/>
      <c r="WVS13"/>
      <c r="WVU13"/>
      <c r="WVW13"/>
      <c r="WVY13"/>
      <c r="WWA13"/>
      <c r="WWC13"/>
      <c r="WWE13"/>
      <c r="WWG13"/>
      <c r="WWI13"/>
      <c r="WWK13"/>
      <c r="WWM13"/>
      <c r="WWO13"/>
      <c r="WWQ13"/>
      <c r="WWS13"/>
      <c r="WWU13"/>
      <c r="WWW13"/>
      <c r="WWY13"/>
      <c r="WXA13"/>
      <c r="WXC13"/>
      <c r="WXE13"/>
      <c r="WXG13"/>
      <c r="WXI13"/>
      <c r="WXK13"/>
      <c r="WXM13"/>
      <c r="WXO13"/>
      <c r="WXQ13"/>
      <c r="WXS13"/>
      <c r="WXU13"/>
      <c r="WXW13"/>
      <c r="WXY13"/>
      <c r="WYA13"/>
      <c r="WYC13"/>
      <c r="WYE13"/>
      <c r="WYG13"/>
      <c r="WYI13"/>
      <c r="WYK13"/>
      <c r="WYM13"/>
      <c r="WYO13"/>
      <c r="WYQ13"/>
      <c r="WYS13"/>
      <c r="WYU13"/>
      <c r="WYW13"/>
      <c r="WYY13"/>
      <c r="WZA13"/>
      <c r="WZC13"/>
      <c r="WZE13"/>
      <c r="WZG13"/>
      <c r="WZI13"/>
      <c r="WZK13"/>
      <c r="WZM13"/>
      <c r="WZO13"/>
      <c r="WZQ13"/>
      <c r="WZS13"/>
      <c r="WZU13"/>
      <c r="WZW13"/>
      <c r="WZY13"/>
      <c r="XAA13"/>
      <c r="XAC13"/>
      <c r="XAE13"/>
      <c r="XAG13"/>
      <c r="XAI13"/>
      <c r="XAK13"/>
      <c r="XAM13"/>
      <c r="XAO13"/>
      <c r="XAQ13"/>
      <c r="XAS13"/>
      <c r="XAU13"/>
      <c r="XAW13"/>
      <c r="XAY13"/>
      <c r="XBA13"/>
      <c r="XBC13"/>
      <c r="XBE13"/>
      <c r="XBG13"/>
      <c r="XBI13"/>
      <c r="XBK13"/>
      <c r="XBM13"/>
      <c r="XBO13"/>
      <c r="XBQ13"/>
      <c r="XBS13"/>
      <c r="XBU13"/>
      <c r="XBW13"/>
      <c r="XBY13"/>
      <c r="XCA13"/>
      <c r="XCC13"/>
      <c r="XCE13"/>
      <c r="XCG13"/>
      <c r="XCI13"/>
      <c r="XCK13"/>
      <c r="XCM13"/>
      <c r="XCO13"/>
      <c r="XCQ13"/>
      <c r="XCS13"/>
      <c r="XCU13"/>
      <c r="XCW13"/>
      <c r="XCY13"/>
      <c r="XDA13"/>
      <c r="XDC13"/>
      <c r="XDE13"/>
      <c r="XDG13"/>
      <c r="XDI13"/>
      <c r="XDK13"/>
      <c r="XDM13"/>
      <c r="XDO13"/>
      <c r="XDQ13"/>
      <c r="XDS13"/>
      <c r="XDU13"/>
      <c r="XDW13"/>
      <c r="XDY13"/>
      <c r="XEA13"/>
      <c r="XEC13"/>
      <c r="XEE13"/>
      <c r="XEG13"/>
      <c r="XEI13"/>
      <c r="XEK13"/>
      <c r="XEM13"/>
      <c r="XEO13"/>
      <c r="XEQ13"/>
      <c r="XES13"/>
      <c r="XEU13"/>
      <c r="XEW13"/>
      <c r="XEY13"/>
      <c r="XFA13"/>
      <c r="XFC13"/>
    </row>
    <row r="14" spans="1:1023 1025:2047 2049:3071 3073:4095 4097:5119 5121:6143 6145:7167 7169:8191 8193:9215 9217:10239 10241:11263 11265:12287 12289:13311 13313:14335 14337:15359 15361:16383" s="65" customFormat="1" x14ac:dyDescent="0.25">
      <c r="A14" s="72" t="s">
        <v>88</v>
      </c>
      <c r="B14" s="81">
        <v>0.56000000000000005</v>
      </c>
      <c r="D14" s="54"/>
      <c r="F14" t="s">
        <v>316</v>
      </c>
      <c r="I14" s="119">
        <v>0.03</v>
      </c>
      <c r="M14" s="165" t="s">
        <v>329</v>
      </c>
      <c r="X14" s="154"/>
    </row>
    <row r="15" spans="1:1023 1025:2047 2049:3071 3073:4095 4097:5119 5121:6143 6145:7167 7169:8191 8193:9215 9217:10239 10241:11263 11265:12287 12289:13311 13313:14335 14337:15359 15361:16383" s="65" customFormat="1" x14ac:dyDescent="0.25">
      <c r="A15" s="72" t="s">
        <v>203</v>
      </c>
      <c r="B15" s="115">
        <v>1.25</v>
      </c>
      <c r="D15" s="54"/>
      <c r="F15" t="s">
        <v>202</v>
      </c>
      <c r="I15" s="120">
        <v>5.0000000000000001E-3</v>
      </c>
      <c r="M15" s="163" t="s">
        <v>353</v>
      </c>
      <c r="X15" s="154"/>
    </row>
    <row r="16" spans="1:1023 1025:2047 2049:3071 3073:4095 4097:5119 5121:6143 6145:7167 7169:8191 8193:9215 9217:10239 10241:11263 11265:12287 12289:13311 13313:14335 14337:15359 15361:16383" s="65" customFormat="1" ht="16.5" thickBot="1" x14ac:dyDescent="0.3">
      <c r="A16" s="72" t="s">
        <v>90</v>
      </c>
      <c r="B16" s="115">
        <v>0.15</v>
      </c>
      <c r="D16" s="54"/>
      <c r="F16" t="s">
        <v>243</v>
      </c>
      <c r="I16" s="124">
        <v>0</v>
      </c>
      <c r="J16" s="124">
        <f>95/3.3</f>
        <v>28.787878787878789</v>
      </c>
      <c r="M16" s="166" t="s">
        <v>331</v>
      </c>
      <c r="N16" s="167"/>
      <c r="O16" s="167"/>
      <c r="P16" s="167"/>
      <c r="Q16" s="167"/>
      <c r="R16" s="167"/>
      <c r="S16" s="167"/>
      <c r="T16" s="167"/>
      <c r="U16" s="167"/>
      <c r="V16" s="167"/>
      <c r="W16" s="167"/>
      <c r="X16" s="168"/>
    </row>
    <row r="17" spans="1:19" s="65" customFormat="1" x14ac:dyDescent="0.25">
      <c r="A17" s="72" t="s">
        <v>137</v>
      </c>
      <c r="B17" s="81">
        <v>0.3</v>
      </c>
      <c r="D17" s="54"/>
      <c r="F17" s="65" t="s">
        <v>106</v>
      </c>
      <c r="I17" s="125">
        <v>0.12</v>
      </c>
    </row>
    <row r="18" spans="1:19" s="65" customFormat="1" x14ac:dyDescent="0.25">
      <c r="A18" s="72" t="s">
        <v>237</v>
      </c>
      <c r="B18" s="81">
        <v>1</v>
      </c>
      <c r="D18" s="54"/>
    </row>
    <row r="19" spans="1:19" s="65" customFormat="1" x14ac:dyDescent="0.25">
      <c r="A19" s="72" t="s">
        <v>239</v>
      </c>
      <c r="B19" s="81">
        <v>0.15</v>
      </c>
      <c r="D19" s="54"/>
    </row>
    <row r="20" spans="1:19" s="65" customFormat="1" x14ac:dyDescent="0.25">
      <c r="A20" s="72" t="s">
        <v>94</v>
      </c>
      <c r="B20" s="115">
        <v>0</v>
      </c>
      <c r="D20" s="54"/>
    </row>
    <row r="21" spans="1:19" s="65" customFormat="1" x14ac:dyDescent="0.25">
      <c r="A21" s="72" t="s">
        <v>277</v>
      </c>
      <c r="B21" s="143">
        <f>'Loan and interest'!B6</f>
        <v>3.5000000000000003E-2</v>
      </c>
      <c r="C21"/>
      <c r="D21" s="2"/>
      <c r="E21"/>
      <c r="F21" s="2"/>
      <c r="G21"/>
      <c r="H21" s="2"/>
      <c r="I21"/>
      <c r="J21" s="2"/>
    </row>
    <row r="22" spans="1:19" s="65" customFormat="1" x14ac:dyDescent="0.25">
      <c r="A22" s="72" t="s">
        <v>241</v>
      </c>
      <c r="B22" s="115">
        <v>0</v>
      </c>
      <c r="D22" s="54"/>
    </row>
    <row r="23" spans="1:19" s="65" customFormat="1" x14ac:dyDescent="0.25">
      <c r="A23" s="72" t="s">
        <v>269</v>
      </c>
      <c r="B23" s="145">
        <v>0.05</v>
      </c>
      <c r="D23" s="54"/>
    </row>
    <row r="24" spans="1:19" s="65" customFormat="1" x14ac:dyDescent="0.25">
      <c r="A24" s="72" t="s">
        <v>286</v>
      </c>
      <c r="D24" s="54"/>
    </row>
    <row r="25" spans="1:19" s="65" customFormat="1" ht="21" x14ac:dyDescent="0.35">
      <c r="A25" s="64"/>
      <c r="D25" s="54"/>
    </row>
    <row r="26" spans="1:19" x14ac:dyDescent="0.25">
      <c r="A26" s="24" t="s">
        <v>108</v>
      </c>
      <c r="B26" s="25" t="s">
        <v>76</v>
      </c>
      <c r="C26" s="25" t="s">
        <v>77</v>
      </c>
      <c r="D26" s="25" t="s">
        <v>74</v>
      </c>
      <c r="E26" s="49"/>
      <c r="F26" s="49" t="s">
        <v>138</v>
      </c>
      <c r="G26" s="49" t="s">
        <v>196</v>
      </c>
      <c r="H26" s="49" t="s">
        <v>197</v>
      </c>
      <c r="I26" s="49" t="s">
        <v>198</v>
      </c>
      <c r="J26" s="49" t="s">
        <v>199</v>
      </c>
      <c r="K26" s="49" t="s">
        <v>201</v>
      </c>
      <c r="L26" s="49" t="s">
        <v>218</v>
      </c>
      <c r="M26" s="49" t="s">
        <v>219</v>
      </c>
      <c r="N26" s="49" t="s">
        <v>220</v>
      </c>
      <c r="O26" s="49" t="s">
        <v>221</v>
      </c>
      <c r="P26" s="49" t="s">
        <v>222</v>
      </c>
      <c r="Q26" s="49" t="s">
        <v>223</v>
      </c>
      <c r="R26" s="49" t="s">
        <v>314</v>
      </c>
      <c r="S26" s="49" t="s">
        <v>315</v>
      </c>
    </row>
    <row r="27" spans="1:19" x14ac:dyDescent="0.25">
      <c r="A27" s="35" t="s">
        <v>83</v>
      </c>
      <c r="B27" s="112">
        <v>2.5</v>
      </c>
      <c r="C27" s="112">
        <v>2.5</v>
      </c>
      <c r="D27" s="112">
        <v>2.5</v>
      </c>
      <c r="E27" s="35"/>
      <c r="F27" s="58">
        <f>D27*(1+F30)</f>
        <v>2.5750000000000002</v>
      </c>
      <c r="G27" s="58">
        <f>F27*(1+G30)</f>
        <v>2.6522500000000004</v>
      </c>
      <c r="H27" s="58">
        <f t="shared" ref="H27:Q27" si="0">G27*(1+H30)</f>
        <v>2.7318175000000005</v>
      </c>
      <c r="I27" s="58">
        <f t="shared" si="0"/>
        <v>2.8137720250000005</v>
      </c>
      <c r="J27" s="58">
        <f t="shared" si="0"/>
        <v>2.8981851857500005</v>
      </c>
      <c r="K27" s="58">
        <f t="shared" si="0"/>
        <v>2.9851307413225006</v>
      </c>
      <c r="L27" s="58">
        <f t="shared" si="0"/>
        <v>3.0746846635621758</v>
      </c>
      <c r="M27" s="58">
        <f t="shared" si="0"/>
        <v>3.1669252034690412</v>
      </c>
      <c r="N27" s="58">
        <f t="shared" si="0"/>
        <v>3.2619329595731124</v>
      </c>
      <c r="O27" s="58">
        <f t="shared" si="0"/>
        <v>3.3597909483603057</v>
      </c>
      <c r="P27" s="58">
        <f t="shared" si="0"/>
        <v>3.460584676811115</v>
      </c>
      <c r="Q27" s="58">
        <f t="shared" si="0"/>
        <v>3.5644022171154486</v>
      </c>
      <c r="R27" s="58">
        <f t="shared" ref="R27" si="1">Q27*(1+R30)</f>
        <v>3.6713342836289122</v>
      </c>
      <c r="S27" s="58">
        <f t="shared" ref="S27" si="2">R27*(1+S30)</f>
        <v>3.7814743121377798</v>
      </c>
    </row>
    <row r="28" spans="1:19" x14ac:dyDescent="0.25">
      <c r="A28" s="37" t="s">
        <v>84</v>
      </c>
      <c r="B28" s="113">
        <v>9.9</v>
      </c>
      <c r="C28" s="113">
        <v>11.5</v>
      </c>
      <c r="D28" s="114">
        <v>11.2</v>
      </c>
      <c r="E28" s="54"/>
      <c r="F28" s="54"/>
      <c r="G28" s="65"/>
      <c r="H28" s="65"/>
      <c r="I28" s="65"/>
      <c r="J28" s="65"/>
      <c r="K28" s="65"/>
      <c r="L28" s="65"/>
      <c r="M28" s="65"/>
      <c r="N28" s="65"/>
      <c r="O28" s="65"/>
      <c r="P28" s="65"/>
      <c r="Q28" s="65"/>
      <c r="R28" s="65"/>
      <c r="S28" s="65"/>
    </row>
    <row r="29" spans="1:19" x14ac:dyDescent="0.25">
      <c r="A29" s="35"/>
      <c r="B29" s="35"/>
      <c r="C29" s="35"/>
      <c r="D29" s="36"/>
      <c r="E29" s="55"/>
      <c r="F29" s="36"/>
      <c r="G29" s="35"/>
      <c r="H29" s="35"/>
      <c r="I29" s="35"/>
      <c r="J29" s="35"/>
      <c r="K29" s="35"/>
      <c r="L29" s="35"/>
      <c r="M29" s="35"/>
      <c r="N29" s="35"/>
      <c r="O29" s="35"/>
      <c r="P29" s="35"/>
      <c r="Q29" s="35"/>
      <c r="R29" s="35"/>
      <c r="S29" s="35"/>
    </row>
    <row r="30" spans="1:19" x14ac:dyDescent="0.25">
      <c r="A30" s="55" t="s">
        <v>86</v>
      </c>
      <c r="B30" s="65"/>
      <c r="C30" s="56">
        <f>C31/B31-1</f>
        <v>6.59340659340657E-3</v>
      </c>
      <c r="D30" s="56">
        <f>D31/C31-1</f>
        <v>-5.8951965065502154E-2</v>
      </c>
      <c r="E30" s="56"/>
      <c r="F30" s="121">
        <f t="shared" ref="F30:Q30" si="3">$I$14</f>
        <v>0.03</v>
      </c>
      <c r="G30" s="121">
        <f t="shared" si="3"/>
        <v>0.03</v>
      </c>
      <c r="H30" s="121">
        <f t="shared" si="3"/>
        <v>0.03</v>
      </c>
      <c r="I30" s="121">
        <f t="shared" si="3"/>
        <v>0.03</v>
      </c>
      <c r="J30" s="121">
        <f t="shared" si="3"/>
        <v>0.03</v>
      </c>
      <c r="K30" s="121">
        <f t="shared" si="3"/>
        <v>0.03</v>
      </c>
      <c r="L30" s="121">
        <f t="shared" si="3"/>
        <v>0.03</v>
      </c>
      <c r="M30" s="121">
        <f t="shared" si="3"/>
        <v>0.03</v>
      </c>
      <c r="N30" s="121">
        <f t="shared" si="3"/>
        <v>0.03</v>
      </c>
      <c r="O30" s="121">
        <f t="shared" si="3"/>
        <v>0.03</v>
      </c>
      <c r="P30" s="121">
        <f t="shared" si="3"/>
        <v>0.03</v>
      </c>
      <c r="Q30" s="121">
        <f t="shared" si="3"/>
        <v>0.03</v>
      </c>
      <c r="R30" s="121">
        <f t="shared" ref="R30:S30" si="4">$I$14</f>
        <v>0.03</v>
      </c>
      <c r="S30" s="121">
        <f t="shared" si="4"/>
        <v>0.03</v>
      </c>
    </row>
    <row r="31" spans="1:19" x14ac:dyDescent="0.25">
      <c r="A31" s="37" t="s">
        <v>85</v>
      </c>
      <c r="B31" s="113">
        <v>455</v>
      </c>
      <c r="C31" s="113">
        <v>458</v>
      </c>
      <c r="D31" s="114">
        <v>431</v>
      </c>
      <c r="E31" s="54"/>
      <c r="F31" s="104">
        <f>D31*(1+F30)</f>
        <v>443.93</v>
      </c>
      <c r="G31" s="104">
        <f t="shared" ref="G31:Q31" si="5">F31*(1+G30)</f>
        <v>457.24790000000002</v>
      </c>
      <c r="H31" s="104">
        <f t="shared" si="5"/>
        <v>470.96533700000003</v>
      </c>
      <c r="I31" s="104">
        <f t="shared" si="5"/>
        <v>485.09429711000007</v>
      </c>
      <c r="J31" s="104">
        <f t="shared" si="5"/>
        <v>499.64712602330007</v>
      </c>
      <c r="K31" s="104">
        <f t="shared" si="5"/>
        <v>514.63653980399909</v>
      </c>
      <c r="L31" s="104">
        <f t="shared" si="5"/>
        <v>530.07563599811908</v>
      </c>
      <c r="M31" s="104">
        <f t="shared" si="5"/>
        <v>545.97790507806269</v>
      </c>
      <c r="N31" s="104">
        <f t="shared" si="5"/>
        <v>562.35724223040461</v>
      </c>
      <c r="O31" s="104">
        <f t="shared" si="5"/>
        <v>579.22795949731676</v>
      </c>
      <c r="P31" s="104">
        <f t="shared" si="5"/>
        <v>596.60479828223629</v>
      </c>
      <c r="Q31" s="104">
        <f t="shared" si="5"/>
        <v>614.50294223070341</v>
      </c>
      <c r="R31" s="104">
        <f t="shared" ref="R31" si="6">Q31*(1+R30)</f>
        <v>632.93803049762448</v>
      </c>
      <c r="S31" s="104">
        <f t="shared" ref="S31" si="7">R31*(1+S30)</f>
        <v>651.92617141255323</v>
      </c>
    </row>
    <row r="32" spans="1:19" x14ac:dyDescent="0.25">
      <c r="A32" s="36" t="s">
        <v>88</v>
      </c>
      <c r="B32" s="34">
        <f>B33/B31</f>
        <v>0.45714285714285713</v>
      </c>
      <c r="C32" s="34">
        <f>C33/C31</f>
        <v>0.50655021834061131</v>
      </c>
      <c r="D32" s="34">
        <f>D33/D31</f>
        <v>0.54060324825986084</v>
      </c>
      <c r="E32" s="57"/>
      <c r="F32" s="29">
        <f t="shared" ref="F32:Q32" si="8">$B$14</f>
        <v>0.56000000000000005</v>
      </c>
      <c r="G32" s="29">
        <f t="shared" si="8"/>
        <v>0.56000000000000005</v>
      </c>
      <c r="H32" s="29">
        <f t="shared" si="8"/>
        <v>0.56000000000000005</v>
      </c>
      <c r="I32" s="29">
        <f t="shared" si="8"/>
        <v>0.56000000000000005</v>
      </c>
      <c r="J32" s="29">
        <f t="shared" si="8"/>
        <v>0.56000000000000005</v>
      </c>
      <c r="K32" s="29">
        <f t="shared" si="8"/>
        <v>0.56000000000000005</v>
      </c>
      <c r="L32" s="29">
        <f t="shared" si="8"/>
        <v>0.56000000000000005</v>
      </c>
      <c r="M32" s="29">
        <f t="shared" si="8"/>
        <v>0.56000000000000005</v>
      </c>
      <c r="N32" s="29">
        <f t="shared" si="8"/>
        <v>0.56000000000000005</v>
      </c>
      <c r="O32" s="29">
        <f t="shared" si="8"/>
        <v>0.56000000000000005</v>
      </c>
      <c r="P32" s="29">
        <f t="shared" si="8"/>
        <v>0.56000000000000005</v>
      </c>
      <c r="Q32" s="29">
        <f t="shared" si="8"/>
        <v>0.56000000000000005</v>
      </c>
      <c r="R32" s="29">
        <f t="shared" ref="R32:S32" si="9">$B$14</f>
        <v>0.56000000000000005</v>
      </c>
      <c r="S32" s="29">
        <f t="shared" si="9"/>
        <v>0.56000000000000005</v>
      </c>
    </row>
    <row r="33" spans="1:21" x14ac:dyDescent="0.25">
      <c r="A33" s="37" t="s">
        <v>87</v>
      </c>
      <c r="B33" s="113">
        <v>208</v>
      </c>
      <c r="C33" s="113">
        <v>232</v>
      </c>
      <c r="D33" s="114">
        <v>233</v>
      </c>
      <c r="E33" s="54"/>
      <c r="F33" s="104">
        <f t="shared" ref="F33:Q33" si="10">F32*F31</f>
        <v>248.60080000000002</v>
      </c>
      <c r="G33" s="104">
        <f t="shared" si="10"/>
        <v>256.05882400000002</v>
      </c>
      <c r="H33" s="104">
        <f t="shared" si="10"/>
        <v>263.74058872000006</v>
      </c>
      <c r="I33" s="104">
        <f t="shared" si="10"/>
        <v>271.65280638160004</v>
      </c>
      <c r="J33" s="104">
        <f t="shared" si="10"/>
        <v>279.80239057304806</v>
      </c>
      <c r="K33" s="104">
        <f t="shared" si="10"/>
        <v>288.19646229023954</v>
      </c>
      <c r="L33" s="104">
        <f t="shared" si="10"/>
        <v>296.8423561589467</v>
      </c>
      <c r="M33" s="104">
        <f t="shared" si="10"/>
        <v>305.74762684371512</v>
      </c>
      <c r="N33" s="104">
        <f t="shared" si="10"/>
        <v>314.92005564902661</v>
      </c>
      <c r="O33" s="104">
        <f t="shared" si="10"/>
        <v>324.36765731849744</v>
      </c>
      <c r="P33" s="104">
        <f t="shared" si="10"/>
        <v>334.09868703805233</v>
      </c>
      <c r="Q33" s="104">
        <f t="shared" si="10"/>
        <v>344.12164764919396</v>
      </c>
      <c r="R33" s="104">
        <f t="shared" ref="R33:S33" si="11">R32*R31</f>
        <v>354.44529707866974</v>
      </c>
      <c r="S33" s="104">
        <f t="shared" si="11"/>
        <v>365.07865599102985</v>
      </c>
    </row>
    <row r="34" spans="1:21" x14ac:dyDescent="0.25">
      <c r="A34" s="36" t="s">
        <v>203</v>
      </c>
      <c r="B34" s="35"/>
      <c r="C34" s="40"/>
      <c r="D34" s="28">
        <f>B15</f>
        <v>1.25</v>
      </c>
      <c r="F34" s="28">
        <f t="shared" ref="F34:Q34" si="12">$B$15</f>
        <v>1.25</v>
      </c>
      <c r="G34" s="28">
        <f t="shared" si="12"/>
        <v>1.25</v>
      </c>
      <c r="H34" s="28">
        <f t="shared" si="12"/>
        <v>1.25</v>
      </c>
      <c r="I34" s="28">
        <f t="shared" si="12"/>
        <v>1.25</v>
      </c>
      <c r="J34" s="28">
        <f t="shared" si="12"/>
        <v>1.25</v>
      </c>
      <c r="K34" s="28">
        <f t="shared" si="12"/>
        <v>1.25</v>
      </c>
      <c r="L34" s="28">
        <f t="shared" si="12"/>
        <v>1.25</v>
      </c>
      <c r="M34" s="28">
        <f t="shared" si="12"/>
        <v>1.25</v>
      </c>
      <c r="N34" s="28">
        <f t="shared" si="12"/>
        <v>1.25</v>
      </c>
      <c r="O34" s="28">
        <f t="shared" si="12"/>
        <v>1.25</v>
      </c>
      <c r="P34" s="28">
        <f t="shared" si="12"/>
        <v>1.25</v>
      </c>
      <c r="Q34" s="28">
        <f t="shared" si="12"/>
        <v>1.25</v>
      </c>
      <c r="R34" s="28">
        <f t="shared" ref="R34:S34" si="13">$B$15</f>
        <v>1.25</v>
      </c>
      <c r="S34" s="28">
        <f t="shared" si="13"/>
        <v>1.25</v>
      </c>
    </row>
    <row r="35" spans="1:21" x14ac:dyDescent="0.25">
      <c r="A35" s="52" t="s">
        <v>164</v>
      </c>
      <c r="B35" s="53"/>
      <c r="C35" s="53"/>
      <c r="D35" s="141">
        <f>D52*D34</f>
        <v>71.25</v>
      </c>
      <c r="E35" s="58"/>
      <c r="F35" s="100">
        <f t="shared" ref="F35:S35" si="14">F52*F34</f>
        <v>83.236874999999998</v>
      </c>
      <c r="G35" s="100">
        <f t="shared" si="14"/>
        <v>85.733981249999999</v>
      </c>
      <c r="H35" s="100">
        <f t="shared" si="14"/>
        <v>88.306000687500003</v>
      </c>
      <c r="I35" s="100">
        <f t="shared" si="14"/>
        <v>90.955180708125013</v>
      </c>
      <c r="J35" s="100">
        <f t="shared" si="14"/>
        <v>93.683836129368757</v>
      </c>
      <c r="K35" s="100">
        <f t="shared" si="14"/>
        <v>96.494351213249828</v>
      </c>
      <c r="L35" s="100">
        <f t="shared" si="14"/>
        <v>99.389181749647321</v>
      </c>
      <c r="M35" s="100">
        <f t="shared" si="14"/>
        <v>102.37085720213676</v>
      </c>
      <c r="N35" s="100">
        <f t="shared" si="14"/>
        <v>105.44198291820086</v>
      </c>
      <c r="O35" s="100">
        <f t="shared" si="14"/>
        <v>108.60524240574689</v>
      </c>
      <c r="P35" s="100">
        <f t="shared" si="14"/>
        <v>111.8633996779193</v>
      </c>
      <c r="Q35" s="100">
        <f t="shared" si="14"/>
        <v>115.21930166825689</v>
      </c>
      <c r="R35" s="100">
        <f t="shared" si="14"/>
        <v>118.6758807183046</v>
      </c>
      <c r="S35" s="100">
        <f t="shared" si="14"/>
        <v>122.23615713985373</v>
      </c>
    </row>
    <row r="36" spans="1:21" x14ac:dyDescent="0.25">
      <c r="A36" s="36" t="s">
        <v>91</v>
      </c>
      <c r="B36" s="36"/>
      <c r="C36" s="36"/>
      <c r="D36" s="74">
        <f>D33-D35</f>
        <v>161.75</v>
      </c>
      <c r="E36" s="75"/>
      <c r="F36" s="76">
        <f t="shared" ref="F36:Q36" si="15">F33-F35</f>
        <v>165.36392500000002</v>
      </c>
      <c r="G36" s="76">
        <f t="shared" si="15"/>
        <v>170.32484275000002</v>
      </c>
      <c r="H36" s="76">
        <f t="shared" si="15"/>
        <v>175.43458803250007</v>
      </c>
      <c r="I36" s="76">
        <f t="shared" si="15"/>
        <v>180.69762567347505</v>
      </c>
      <c r="J36" s="76">
        <f t="shared" si="15"/>
        <v>186.1185544436793</v>
      </c>
      <c r="K36" s="76">
        <f t="shared" si="15"/>
        <v>191.70211107698969</v>
      </c>
      <c r="L36" s="76">
        <f t="shared" si="15"/>
        <v>197.45317440929938</v>
      </c>
      <c r="M36" s="76">
        <f t="shared" si="15"/>
        <v>203.37676964157836</v>
      </c>
      <c r="N36" s="76">
        <f t="shared" si="15"/>
        <v>209.47807273082574</v>
      </c>
      <c r="O36" s="76">
        <f t="shared" si="15"/>
        <v>215.76241491275056</v>
      </c>
      <c r="P36" s="76">
        <f t="shared" si="15"/>
        <v>222.23528736013304</v>
      </c>
      <c r="Q36" s="76">
        <f t="shared" si="15"/>
        <v>228.90234598093707</v>
      </c>
      <c r="R36" s="76">
        <f t="shared" ref="R36:S36" si="16">R33-R35</f>
        <v>235.76941636036514</v>
      </c>
      <c r="S36" s="76">
        <f t="shared" si="16"/>
        <v>242.84249885117612</v>
      </c>
    </row>
    <row r="37" spans="1:21" x14ac:dyDescent="0.25">
      <c r="A37" s="35" t="s">
        <v>255</v>
      </c>
      <c r="B37" s="36"/>
      <c r="C37" s="105">
        <f>'Loan and interest'!B21</f>
        <v>4.5371249999999996</v>
      </c>
      <c r="D37" s="105">
        <f>'Loan and interest'!C21</f>
        <v>5.3534999999999995</v>
      </c>
      <c r="E37" s="59"/>
      <c r="F37" s="105">
        <f>'Loan and interest'!D21</f>
        <v>4.3943124999999998</v>
      </c>
      <c r="G37" s="105">
        <f>'Loan and interest'!E21</f>
        <v>2.8125</v>
      </c>
      <c r="H37" s="105">
        <f>'Loan and interest'!F21</f>
        <v>1.2493749999999999</v>
      </c>
      <c r="I37" s="105">
        <f>'Loan and interest'!G21</f>
        <v>8.0312499999999981E-2</v>
      </c>
      <c r="J37" s="105">
        <f>'Loan and interest'!H21</f>
        <v>0</v>
      </c>
      <c r="K37" s="105">
        <f>'Loan and interest'!I21</f>
        <v>0</v>
      </c>
      <c r="L37" s="105">
        <f>'Loan and interest'!J21</f>
        <v>0</v>
      </c>
      <c r="M37" s="105">
        <f>'Loan and interest'!K21</f>
        <v>0</v>
      </c>
      <c r="N37" s="105">
        <f>'Loan and interest'!L21</f>
        <v>0</v>
      </c>
      <c r="O37" s="105">
        <f>'Loan and interest'!M21</f>
        <v>0</v>
      </c>
      <c r="P37" s="105">
        <f>'Loan and interest'!N21</f>
        <v>0</v>
      </c>
      <c r="Q37" s="105">
        <f>'Loan and interest'!O21</f>
        <v>0</v>
      </c>
      <c r="R37" s="105">
        <f>'Loan and interest'!P21</f>
        <v>0</v>
      </c>
      <c r="S37" s="105">
        <f>'Loan and interest'!Q21</f>
        <v>0</v>
      </c>
    </row>
    <row r="38" spans="1:21" x14ac:dyDescent="0.25">
      <c r="A38" s="35" t="s">
        <v>278</v>
      </c>
      <c r="B38" s="36"/>
      <c r="C38" s="151">
        <v>0</v>
      </c>
      <c r="D38" s="105">
        <v>0</v>
      </c>
      <c r="E38" s="59"/>
      <c r="F38" s="105">
        <f>'Loan and interest'!B29</f>
        <v>0</v>
      </c>
      <c r="G38" s="105">
        <f>'Loan and interest'!C29</f>
        <v>25.200000000000003</v>
      </c>
      <c r="H38" s="105">
        <f>'Loan and interest'!D29</f>
        <v>23.867457593481252</v>
      </c>
      <c r="I38" s="105">
        <f>'Loan and interest'!E29</f>
        <v>22.350198331651182</v>
      </c>
      <c r="J38" s="105">
        <f>'Loan and interest'!F29</f>
        <v>20.430099400113324</v>
      </c>
      <c r="K38" s="105">
        <f>'Loan and interest'!G29</f>
        <v>17.898850470925481</v>
      </c>
      <c r="L38" s="105">
        <f>'Loan and interest'!H29</f>
        <v>15.178937075311445</v>
      </c>
      <c r="M38" s="105">
        <f>'Loan and interest'!I29</f>
        <v>12.262351775583616</v>
      </c>
      <c r="N38" s="105">
        <f>'Loan and interest'!J29</f>
        <v>7.5657980231093171</v>
      </c>
      <c r="O38" s="105">
        <f>'Loan and interest'!K29</f>
        <v>5.0399999650000042</v>
      </c>
      <c r="P38" s="105">
        <f>'Loan and interest'!L29</f>
        <v>2.520000000000004</v>
      </c>
      <c r="Q38" s="105">
        <f>'Loan and interest'!M29</f>
        <v>0</v>
      </c>
      <c r="R38" s="105">
        <f>'Loan and interest'!N29</f>
        <v>0</v>
      </c>
      <c r="S38" s="105">
        <f>'Loan and interest'!O29</f>
        <v>0</v>
      </c>
    </row>
    <row r="39" spans="1:21" x14ac:dyDescent="0.25">
      <c r="A39" s="35" t="s">
        <v>229</v>
      </c>
      <c r="B39" s="88">
        <v>0</v>
      </c>
      <c r="C39" s="38">
        <v>0</v>
      </c>
      <c r="D39" s="88">
        <v>0</v>
      </c>
      <c r="E39" s="98"/>
      <c r="F39" s="88">
        <v>0</v>
      </c>
      <c r="G39" s="174">
        <f t="shared" ref="G39:Q39" si="17">$I$16</f>
        <v>0</v>
      </c>
      <c r="H39" s="174">
        <f t="shared" si="17"/>
        <v>0</v>
      </c>
      <c r="I39" s="174">
        <f t="shared" si="17"/>
        <v>0</v>
      </c>
      <c r="J39" s="174">
        <f t="shared" si="17"/>
        <v>0</v>
      </c>
      <c r="K39" s="174">
        <f t="shared" si="17"/>
        <v>0</v>
      </c>
      <c r="L39" s="174">
        <f t="shared" si="17"/>
        <v>0</v>
      </c>
      <c r="M39" s="174">
        <f t="shared" si="17"/>
        <v>0</v>
      </c>
      <c r="N39" s="174">
        <f t="shared" si="17"/>
        <v>0</v>
      </c>
      <c r="O39" s="174">
        <f t="shared" si="17"/>
        <v>0</v>
      </c>
      <c r="P39" s="174">
        <f t="shared" si="17"/>
        <v>0</v>
      </c>
      <c r="Q39" s="174">
        <f t="shared" si="17"/>
        <v>0</v>
      </c>
      <c r="R39" s="174">
        <f t="shared" ref="R39:S39" si="18">$I$16</f>
        <v>0</v>
      </c>
      <c r="S39" s="174">
        <f t="shared" si="18"/>
        <v>0</v>
      </c>
    </row>
    <row r="40" spans="1:21" x14ac:dyDescent="0.25">
      <c r="A40" s="55" t="s">
        <v>137</v>
      </c>
      <c r="B40" s="57"/>
      <c r="C40" s="57"/>
      <c r="D40" s="81">
        <f>$B$17</f>
        <v>0.3</v>
      </c>
      <c r="E40" s="57"/>
      <c r="F40" s="81">
        <f t="shared" ref="F40:Q40" si="19">$B$17</f>
        <v>0.3</v>
      </c>
      <c r="G40" s="81">
        <f t="shared" si="19"/>
        <v>0.3</v>
      </c>
      <c r="H40" s="81">
        <f t="shared" si="19"/>
        <v>0.3</v>
      </c>
      <c r="I40" s="81">
        <f t="shared" si="19"/>
        <v>0.3</v>
      </c>
      <c r="J40" s="81">
        <f t="shared" si="19"/>
        <v>0.3</v>
      </c>
      <c r="K40" s="81">
        <f t="shared" si="19"/>
        <v>0.3</v>
      </c>
      <c r="L40" s="81">
        <f t="shared" si="19"/>
        <v>0.3</v>
      </c>
      <c r="M40" s="81">
        <f t="shared" si="19"/>
        <v>0.3</v>
      </c>
      <c r="N40" s="81">
        <f t="shared" si="19"/>
        <v>0.3</v>
      </c>
      <c r="O40" s="81">
        <f t="shared" si="19"/>
        <v>0.3</v>
      </c>
      <c r="P40" s="81">
        <f t="shared" si="19"/>
        <v>0.3</v>
      </c>
      <c r="Q40" s="81">
        <f t="shared" si="19"/>
        <v>0.3</v>
      </c>
      <c r="R40" s="81">
        <f t="shared" ref="R40:S40" si="20">$B$17</f>
        <v>0.3</v>
      </c>
      <c r="S40" s="81">
        <f t="shared" si="20"/>
        <v>0.3</v>
      </c>
    </row>
    <row r="41" spans="1:21" s="109" customFormat="1" x14ac:dyDescent="0.25">
      <c r="A41" s="55" t="s">
        <v>292</v>
      </c>
      <c r="B41" s="57"/>
      <c r="C41" s="57"/>
      <c r="D41" s="98">
        <f>D40*(D36-D37-D38-D39)</f>
        <v>46.918950000000002</v>
      </c>
      <c r="E41" s="57"/>
      <c r="F41" s="98">
        <f>F40*(F36-F37-F38-F39)</f>
        <v>48.290883749999999</v>
      </c>
      <c r="G41" s="98">
        <f t="shared" ref="G41:J41" si="21">G40*(G36-G37-G38-G39)</f>
        <v>42.69370282500001</v>
      </c>
      <c r="H41" s="98">
        <f t="shared" si="21"/>
        <v>45.095326631705653</v>
      </c>
      <c r="I41" s="98">
        <f t="shared" si="21"/>
        <v>47.480134452547162</v>
      </c>
      <c r="J41" s="98">
        <f t="shared" si="21"/>
        <v>49.706536513069786</v>
      </c>
      <c r="K41" s="98">
        <f t="shared" ref="K41" si="22">K40*(K36-K37-K38-K39)</f>
        <v>52.140978181819264</v>
      </c>
      <c r="L41" s="98">
        <f t="shared" ref="L41" si="23">L40*(L36-L37-L38-L39)</f>
        <v>54.682271200196382</v>
      </c>
      <c r="M41" s="98">
        <f t="shared" ref="M41" si="24">M40*(M36-M37-M38-M39)</f>
        <v>57.33432535979842</v>
      </c>
      <c r="N41" s="98">
        <f t="shared" ref="N41" si="25">N40*(N36-N37-N38-N39)</f>
        <v>60.573682412314923</v>
      </c>
      <c r="O41" s="98">
        <f t="shared" ref="O41" si="26">O40*(O36-O37-O38-O39)</f>
        <v>63.216724484325169</v>
      </c>
      <c r="P41" s="98">
        <f t="shared" ref="P41" si="27">P40*(P36-P37-P38-P39)</f>
        <v>65.914586208039907</v>
      </c>
      <c r="Q41" s="98">
        <f>Q40*(Q36-Q37-Q38-Q39)</f>
        <v>68.670703794281124</v>
      </c>
      <c r="R41" s="98">
        <f t="shared" ref="R41" si="28">R40*(R36-R37-R38-R39)</f>
        <v>70.73082490810954</v>
      </c>
      <c r="S41" s="98">
        <f>S40*(S36-S37-S38-S39)</f>
        <v>72.852749655352838</v>
      </c>
      <c r="T41"/>
    </row>
    <row r="42" spans="1:21" s="65" customFormat="1" x14ac:dyDescent="0.25">
      <c r="A42" s="101" t="s">
        <v>228</v>
      </c>
      <c r="B42" s="99"/>
      <c r="C42" s="99"/>
      <c r="D42" s="102">
        <f>D36-D37-D38-D39-D41</f>
        <v>109.47755000000001</v>
      </c>
      <c r="E42" s="57"/>
      <c r="F42" s="102">
        <f t="shared" ref="F42:Q42" si="29">F36-F37-F38-F39-F41</f>
        <v>112.67872875</v>
      </c>
      <c r="G42" s="102">
        <f>G36-G37-G38-G39-G41</f>
        <v>99.618639925000025</v>
      </c>
      <c r="H42" s="102">
        <f t="shared" si="29"/>
        <v>105.22242880731318</v>
      </c>
      <c r="I42" s="102">
        <f t="shared" si="29"/>
        <v>110.78698038927672</v>
      </c>
      <c r="J42" s="102">
        <f t="shared" si="29"/>
        <v>115.98191853049619</v>
      </c>
      <c r="K42" s="102">
        <f t="shared" si="29"/>
        <v>121.66228242424495</v>
      </c>
      <c r="L42" s="102">
        <f t="shared" si="29"/>
        <v>127.59196613379156</v>
      </c>
      <c r="M42" s="102">
        <f t="shared" si="29"/>
        <v>133.78009250619633</v>
      </c>
      <c r="N42" s="102">
        <f t="shared" si="29"/>
        <v>141.3385922954015</v>
      </c>
      <c r="O42" s="102">
        <f t="shared" si="29"/>
        <v>147.5056904634254</v>
      </c>
      <c r="P42" s="102">
        <f t="shared" si="29"/>
        <v>153.80070115209313</v>
      </c>
      <c r="Q42" s="102">
        <f t="shared" si="29"/>
        <v>160.23164218665596</v>
      </c>
      <c r="R42" s="102">
        <f t="shared" ref="R42:S42" si="30">R36-R37-R38-R39-R41</f>
        <v>165.03859145225562</v>
      </c>
      <c r="S42" s="102">
        <f t="shared" si="30"/>
        <v>169.98974919582326</v>
      </c>
      <c r="T42" s="50"/>
    </row>
    <row r="43" spans="1:21" s="65" customFormat="1" x14ac:dyDescent="0.25">
      <c r="A43" s="55"/>
      <c r="B43" s="57"/>
      <c r="C43" s="57"/>
      <c r="D43" s="98"/>
      <c r="E43" s="57"/>
      <c r="F43" s="98"/>
      <c r="G43" s="98"/>
      <c r="H43" s="98"/>
      <c r="I43" s="98"/>
      <c r="J43" s="98"/>
      <c r="K43" s="98"/>
      <c r="L43" s="98"/>
      <c r="M43" s="98"/>
      <c r="N43" s="98"/>
      <c r="O43" s="98"/>
      <c r="P43" s="98"/>
      <c r="Q43" s="98"/>
      <c r="R43" s="98"/>
      <c r="S43" s="98"/>
    </row>
    <row r="44" spans="1:21" s="65" customFormat="1" x14ac:dyDescent="0.25">
      <c r="A44" s="55" t="s">
        <v>238</v>
      </c>
      <c r="B44" s="57"/>
      <c r="C44" s="57"/>
      <c r="D44" s="98"/>
      <c r="E44" s="57"/>
      <c r="F44" s="97">
        <v>0</v>
      </c>
      <c r="G44" s="29">
        <f t="shared" ref="G44:Q44" si="31">$B$18</f>
        <v>1</v>
      </c>
      <c r="H44" s="29">
        <f t="shared" si="31"/>
        <v>1</v>
      </c>
      <c r="I44" s="29">
        <f t="shared" si="31"/>
        <v>1</v>
      </c>
      <c r="J44" s="29">
        <f t="shared" si="31"/>
        <v>1</v>
      </c>
      <c r="K44" s="29">
        <f t="shared" si="31"/>
        <v>1</v>
      </c>
      <c r="L44" s="29">
        <f t="shared" si="31"/>
        <v>1</v>
      </c>
      <c r="M44" s="29">
        <f t="shared" si="31"/>
        <v>1</v>
      </c>
      <c r="N44" s="29">
        <f t="shared" si="31"/>
        <v>1</v>
      </c>
      <c r="O44" s="29">
        <f t="shared" si="31"/>
        <v>1</v>
      </c>
      <c r="P44" s="29">
        <f t="shared" si="31"/>
        <v>1</v>
      </c>
      <c r="Q44" s="29">
        <f t="shared" si="31"/>
        <v>1</v>
      </c>
      <c r="R44" s="29">
        <f t="shared" ref="R44:S44" si="32">$B$18</f>
        <v>1</v>
      </c>
      <c r="S44" s="29">
        <f t="shared" si="32"/>
        <v>1</v>
      </c>
    </row>
    <row r="45" spans="1:21" s="65" customFormat="1" x14ac:dyDescent="0.25">
      <c r="A45" s="55" t="s">
        <v>290</v>
      </c>
      <c r="B45" s="57"/>
      <c r="C45" s="57"/>
      <c r="D45" s="88">
        <v>0</v>
      </c>
      <c r="E45" s="57"/>
      <c r="F45" s="88">
        <v>0</v>
      </c>
      <c r="G45" s="88">
        <f>G42*G44</f>
        <v>99.618639925000025</v>
      </c>
      <c r="H45" s="88">
        <f t="shared" ref="H45:Q45" si="33">H42*H44</f>
        <v>105.22242880731318</v>
      </c>
      <c r="I45" s="88">
        <f t="shared" si="33"/>
        <v>110.78698038927672</v>
      </c>
      <c r="J45" s="88">
        <f t="shared" si="33"/>
        <v>115.98191853049619</v>
      </c>
      <c r="K45" s="88">
        <f t="shared" si="33"/>
        <v>121.66228242424495</v>
      </c>
      <c r="L45" s="88">
        <f t="shared" si="33"/>
        <v>127.59196613379156</v>
      </c>
      <c r="M45" s="88">
        <f t="shared" si="33"/>
        <v>133.78009250619633</v>
      </c>
      <c r="N45" s="88">
        <f t="shared" si="33"/>
        <v>141.3385922954015</v>
      </c>
      <c r="O45" s="88">
        <f t="shared" si="33"/>
        <v>147.5056904634254</v>
      </c>
      <c r="P45" s="88">
        <f t="shared" si="33"/>
        <v>153.80070115209313</v>
      </c>
      <c r="Q45" s="88">
        <f t="shared" si="33"/>
        <v>160.23164218665596</v>
      </c>
      <c r="R45" s="88">
        <f t="shared" ref="R45:S45" si="34">R42*R44</f>
        <v>165.03859145225562</v>
      </c>
      <c r="S45" s="88">
        <f t="shared" si="34"/>
        <v>169.98974919582326</v>
      </c>
      <c r="U45" s="57"/>
    </row>
    <row r="46" spans="1:21" s="65" customFormat="1" x14ac:dyDescent="0.25">
      <c r="A46" s="55" t="s">
        <v>234</v>
      </c>
      <c r="B46" s="57"/>
      <c r="C46" s="57"/>
      <c r="D46" s="98"/>
      <c r="E46" s="57"/>
      <c r="F46" s="81">
        <v>0.15</v>
      </c>
      <c r="G46" s="81">
        <f t="shared" ref="G46:Q46" si="35">$B$19</f>
        <v>0.15</v>
      </c>
      <c r="H46" s="81">
        <f t="shared" si="35"/>
        <v>0.15</v>
      </c>
      <c r="I46" s="81">
        <f t="shared" si="35"/>
        <v>0.15</v>
      </c>
      <c r="J46" s="81">
        <f t="shared" si="35"/>
        <v>0.15</v>
      </c>
      <c r="K46" s="81">
        <f t="shared" si="35"/>
        <v>0.15</v>
      </c>
      <c r="L46" s="81">
        <f t="shared" si="35"/>
        <v>0.15</v>
      </c>
      <c r="M46" s="81">
        <f t="shared" si="35"/>
        <v>0.15</v>
      </c>
      <c r="N46" s="81">
        <f t="shared" si="35"/>
        <v>0.15</v>
      </c>
      <c r="O46" s="81">
        <f t="shared" si="35"/>
        <v>0.15</v>
      </c>
      <c r="P46" s="81">
        <f t="shared" si="35"/>
        <v>0.15</v>
      </c>
      <c r="Q46" s="81">
        <f t="shared" si="35"/>
        <v>0.15</v>
      </c>
      <c r="R46" s="81">
        <f t="shared" ref="R46:S46" si="36">$B$19</f>
        <v>0.15</v>
      </c>
      <c r="S46" s="81">
        <f t="shared" si="36"/>
        <v>0.15</v>
      </c>
    </row>
    <row r="47" spans="1:21" s="65" customFormat="1" x14ac:dyDescent="0.25">
      <c r="A47" s="55" t="s">
        <v>291</v>
      </c>
      <c r="B47" s="57"/>
      <c r="C47" s="57"/>
      <c r="D47" s="105">
        <f>D45*D46</f>
        <v>0</v>
      </c>
      <c r="E47" s="57"/>
      <c r="F47" s="106">
        <f t="shared" ref="F47:Q47" si="37">F45*F46</f>
        <v>0</v>
      </c>
      <c r="G47" s="100">
        <f>G45*G46</f>
        <v>14.942795988750003</v>
      </c>
      <c r="H47" s="100">
        <f t="shared" si="37"/>
        <v>15.783364321096975</v>
      </c>
      <c r="I47" s="100">
        <f t="shared" si="37"/>
        <v>16.618047058391507</v>
      </c>
      <c r="J47" s="100">
        <f t="shared" si="37"/>
        <v>17.397287779574427</v>
      </c>
      <c r="K47" s="100">
        <f t="shared" si="37"/>
        <v>18.249342363636742</v>
      </c>
      <c r="L47" s="100">
        <f t="shared" si="37"/>
        <v>19.138794920068733</v>
      </c>
      <c r="M47" s="100">
        <f t="shared" si="37"/>
        <v>20.067013875929447</v>
      </c>
      <c r="N47" s="100">
        <f t="shared" si="37"/>
        <v>21.200788844310225</v>
      </c>
      <c r="O47" s="100">
        <f t="shared" si="37"/>
        <v>22.125853569513808</v>
      </c>
      <c r="P47" s="100">
        <f t="shared" si="37"/>
        <v>23.070105172813967</v>
      </c>
      <c r="Q47" s="100">
        <f t="shared" si="37"/>
        <v>24.034746327998395</v>
      </c>
      <c r="R47" s="100">
        <f t="shared" ref="R47:S47" si="38">R45*R46</f>
        <v>24.755788717838342</v>
      </c>
      <c r="S47" s="100">
        <f t="shared" si="38"/>
        <v>25.498462379373489</v>
      </c>
    </row>
    <row r="48" spans="1:21" s="109" customFormat="1" x14ac:dyDescent="0.25">
      <c r="A48" s="101" t="s">
        <v>236</v>
      </c>
      <c r="B48" s="99"/>
      <c r="C48" s="99"/>
      <c r="D48" s="107">
        <f>D42-D47</f>
        <v>109.47755000000001</v>
      </c>
      <c r="E48" s="65"/>
      <c r="F48" s="107">
        <f>F42-F47</f>
        <v>112.67872875</v>
      </c>
      <c r="G48" s="107">
        <f t="shared" ref="G48:Q48" si="39">G42-G47</f>
        <v>84.675843936250018</v>
      </c>
      <c r="H48" s="107">
        <f t="shared" si="39"/>
        <v>89.439064486216211</v>
      </c>
      <c r="I48" s="107">
        <f t="shared" si="39"/>
        <v>94.16893333088521</v>
      </c>
      <c r="J48" s="107">
        <f t="shared" si="39"/>
        <v>98.584630750921761</v>
      </c>
      <c r="K48" s="107">
        <f t="shared" si="39"/>
        <v>103.41294006060821</v>
      </c>
      <c r="L48" s="107">
        <f t="shared" si="39"/>
        <v>108.45317121372283</v>
      </c>
      <c r="M48" s="107">
        <f t="shared" si="39"/>
        <v>113.71307863026688</v>
      </c>
      <c r="N48" s="107">
        <f t="shared" si="39"/>
        <v>120.13780345109127</v>
      </c>
      <c r="O48" s="107">
        <f t="shared" si="39"/>
        <v>125.37983689391159</v>
      </c>
      <c r="P48" s="107">
        <f t="shared" si="39"/>
        <v>130.73059597927914</v>
      </c>
      <c r="Q48" s="107">
        <f t="shared" si="39"/>
        <v>136.19689585865757</v>
      </c>
      <c r="R48" s="107">
        <f t="shared" ref="R48:S48" si="40">R42-R47</f>
        <v>140.28280273441726</v>
      </c>
      <c r="S48" s="107">
        <f t="shared" si="40"/>
        <v>144.49128681644979</v>
      </c>
      <c r="T48" s="51"/>
    </row>
    <row r="49" spans="1:25 16384:16384" s="109" customFormat="1" x14ac:dyDescent="0.25">
      <c r="A49" s="224" t="s">
        <v>351</v>
      </c>
      <c r="B49" s="225"/>
      <c r="C49" s="225"/>
      <c r="D49" s="225"/>
      <c r="E49" s="226"/>
      <c r="F49" s="227">
        <f>F47+F41</f>
        <v>48.290883749999999</v>
      </c>
      <c r="G49" s="227">
        <f t="shared" ref="G49:S49" si="41">G47+G41</f>
        <v>57.636498813750009</v>
      </c>
      <c r="H49" s="227">
        <f t="shared" si="41"/>
        <v>60.878690952802629</v>
      </c>
      <c r="I49" s="227">
        <f t="shared" si="41"/>
        <v>64.098181510938673</v>
      </c>
      <c r="J49" s="227">
        <f t="shared" si="41"/>
        <v>67.103824292644219</v>
      </c>
      <c r="K49" s="227">
        <f t="shared" si="41"/>
        <v>70.390320545456007</v>
      </c>
      <c r="L49" s="227">
        <f t="shared" si="41"/>
        <v>73.821066120265115</v>
      </c>
      <c r="M49" s="227">
        <f t="shared" si="41"/>
        <v>77.401339235727875</v>
      </c>
      <c r="N49" s="227">
        <f t="shared" si="41"/>
        <v>81.774471256625148</v>
      </c>
      <c r="O49" s="227">
        <f t="shared" si="41"/>
        <v>85.342578053838977</v>
      </c>
      <c r="P49" s="227">
        <f t="shared" si="41"/>
        <v>88.984691380853874</v>
      </c>
      <c r="Q49" s="227">
        <f t="shared" si="41"/>
        <v>92.705450122279515</v>
      </c>
      <c r="R49" s="227">
        <f t="shared" si="41"/>
        <v>95.486613625947882</v>
      </c>
      <c r="S49" s="227">
        <f t="shared" si="41"/>
        <v>98.351212034726331</v>
      </c>
    </row>
    <row r="50" spans="1:25 16384:16384" x14ac:dyDescent="0.25">
      <c r="A50" s="35" t="s">
        <v>89</v>
      </c>
      <c r="B50" s="38"/>
      <c r="C50" s="38"/>
      <c r="D50" s="38"/>
      <c r="E50" s="58"/>
      <c r="F50" s="28">
        <f>$B$20</f>
        <v>0</v>
      </c>
      <c r="G50" s="28">
        <f>F50</f>
        <v>0</v>
      </c>
      <c r="H50" s="28">
        <f t="shared" ref="H50:J50" si="42">G50</f>
        <v>0</v>
      </c>
      <c r="I50" s="28">
        <f t="shared" si="42"/>
        <v>0</v>
      </c>
      <c r="J50" s="28">
        <f t="shared" si="42"/>
        <v>0</v>
      </c>
      <c r="K50" s="28">
        <f t="shared" ref="K50" si="43">J50</f>
        <v>0</v>
      </c>
      <c r="L50" s="28">
        <f t="shared" ref="L50" si="44">K50</f>
        <v>0</v>
      </c>
      <c r="M50" s="28">
        <f t="shared" ref="M50" si="45">L50</f>
        <v>0</v>
      </c>
      <c r="N50" s="28">
        <f t="shared" ref="N50" si="46">M50</f>
        <v>0</v>
      </c>
      <c r="O50" s="28">
        <f t="shared" ref="O50" si="47">N50</f>
        <v>0</v>
      </c>
      <c r="P50" s="28">
        <f t="shared" ref="P50" si="48">O50</f>
        <v>0</v>
      </c>
      <c r="Q50" s="28">
        <f t="shared" ref="Q50" si="49">P50</f>
        <v>0</v>
      </c>
      <c r="R50" s="28">
        <f t="shared" ref="R50:R51" si="50">Q50</f>
        <v>0</v>
      </c>
      <c r="S50" s="28">
        <f t="shared" ref="S50:S51" si="51">R50</f>
        <v>0</v>
      </c>
    </row>
    <row r="51" spans="1:25 16384:16384" x14ac:dyDescent="0.25">
      <c r="A51" s="36" t="s">
        <v>90</v>
      </c>
      <c r="B51" s="39">
        <f>B52/B31</f>
        <v>0.15164835164835164</v>
      </c>
      <c r="C51" s="39">
        <f>C52/C31</f>
        <v>0.10698689956331878</v>
      </c>
      <c r="D51" s="39">
        <f>D52/D31</f>
        <v>0.13225058004640372</v>
      </c>
      <c r="E51" s="122"/>
      <c r="F51" s="103">
        <v>0.15</v>
      </c>
      <c r="G51" s="29">
        <f>'Information given'!C51</f>
        <v>0.15</v>
      </c>
      <c r="H51" s="29">
        <f t="shared" ref="H51:J51" si="52">G51</f>
        <v>0.15</v>
      </c>
      <c r="I51" s="29">
        <f t="shared" si="52"/>
        <v>0.15</v>
      </c>
      <c r="J51" s="29">
        <f t="shared" si="52"/>
        <v>0.15</v>
      </c>
      <c r="K51" s="29">
        <f t="shared" ref="K51" si="53">J51</f>
        <v>0.15</v>
      </c>
      <c r="L51" s="29">
        <f t="shared" ref="L51" si="54">K51</f>
        <v>0.15</v>
      </c>
      <c r="M51" s="29">
        <f t="shared" ref="M51" si="55">L51</f>
        <v>0.15</v>
      </c>
      <c r="N51" s="29">
        <f t="shared" ref="N51" si="56">M51</f>
        <v>0.15</v>
      </c>
      <c r="O51" s="29">
        <f t="shared" ref="O51" si="57">N51</f>
        <v>0.15</v>
      </c>
      <c r="P51" s="29">
        <f t="shared" ref="P51" si="58">O51</f>
        <v>0.15</v>
      </c>
      <c r="Q51" s="29">
        <f t="shared" ref="Q51" si="59">P51</f>
        <v>0.15</v>
      </c>
      <c r="R51" s="29">
        <f t="shared" si="50"/>
        <v>0.15</v>
      </c>
      <c r="S51" s="29">
        <f t="shared" si="51"/>
        <v>0.15</v>
      </c>
    </row>
    <row r="52" spans="1:25 16384:16384" ht="17.100000000000001" customHeight="1" x14ac:dyDescent="0.25">
      <c r="A52" s="35" t="s">
        <v>227</v>
      </c>
      <c r="B52" s="112">
        <v>69</v>
      </c>
      <c r="C52" s="112">
        <v>49</v>
      </c>
      <c r="D52" s="27">
        <v>57</v>
      </c>
      <c r="E52" s="54"/>
      <c r="F52" s="79">
        <f t="shared" ref="F52:S52" si="60">F51*F31</f>
        <v>66.589500000000001</v>
      </c>
      <c r="G52" s="79">
        <f t="shared" si="60"/>
        <v>68.587185000000005</v>
      </c>
      <c r="H52" s="79">
        <f t="shared" si="60"/>
        <v>70.644800549999999</v>
      </c>
      <c r="I52" s="79">
        <f t="shared" si="60"/>
        <v>72.764144566500008</v>
      </c>
      <c r="J52" s="79">
        <f t="shared" si="60"/>
        <v>74.947068903495008</v>
      </c>
      <c r="K52" s="79">
        <f t="shared" si="60"/>
        <v>77.19548097059986</v>
      </c>
      <c r="L52" s="79">
        <f t="shared" si="60"/>
        <v>79.511345399717854</v>
      </c>
      <c r="M52" s="79">
        <f t="shared" si="60"/>
        <v>81.896685761709406</v>
      </c>
      <c r="N52" s="79">
        <f t="shared" si="60"/>
        <v>84.353586334560688</v>
      </c>
      <c r="O52" s="79">
        <f t="shared" si="60"/>
        <v>86.884193924597511</v>
      </c>
      <c r="P52" s="79">
        <f t="shared" si="60"/>
        <v>89.490719742335443</v>
      </c>
      <c r="Q52" s="79">
        <f t="shared" si="60"/>
        <v>92.175441334605509</v>
      </c>
      <c r="R52" s="79">
        <f t="shared" si="60"/>
        <v>94.940704574643675</v>
      </c>
      <c r="S52" s="79">
        <f t="shared" si="60"/>
        <v>97.788925711882982</v>
      </c>
      <c r="T52" s="22"/>
      <c r="U52" s="22"/>
      <c r="V52" s="22"/>
      <c r="W52" s="22"/>
      <c r="X52" s="22"/>
      <c r="Y52" s="22"/>
    </row>
    <row r="53" spans="1:25 16384:16384" x14ac:dyDescent="0.25">
      <c r="A53" s="35" t="s">
        <v>225</v>
      </c>
      <c r="B53" s="35"/>
      <c r="C53" s="79">
        <f>'Loan and interest'!B20</f>
        <v>82.5</v>
      </c>
      <c r="D53" s="79">
        <f>'Loan and interest'!C20</f>
        <v>68.75</v>
      </c>
      <c r="E53" s="122"/>
      <c r="F53" s="79">
        <f>'Loan and interest'!D20</f>
        <v>50</v>
      </c>
      <c r="G53" s="79">
        <f>'Loan and interest'!E20</f>
        <v>31.25</v>
      </c>
      <c r="H53" s="79">
        <f>'Loan and interest'!F20</f>
        <v>12.5</v>
      </c>
      <c r="I53" s="79">
        <f>'Loan and interest'!G20</f>
        <v>0</v>
      </c>
      <c r="J53" s="79">
        <f t="shared" ref="J53:Q53" si="61">I53</f>
        <v>0</v>
      </c>
      <c r="K53" s="79">
        <f t="shared" si="61"/>
        <v>0</v>
      </c>
      <c r="L53" s="79">
        <f t="shared" si="61"/>
        <v>0</v>
      </c>
      <c r="M53" s="79">
        <f t="shared" si="61"/>
        <v>0</v>
      </c>
      <c r="N53" s="79">
        <f t="shared" si="61"/>
        <v>0</v>
      </c>
      <c r="O53" s="79">
        <f t="shared" si="61"/>
        <v>0</v>
      </c>
      <c r="P53" s="79">
        <f t="shared" si="61"/>
        <v>0</v>
      </c>
      <c r="Q53" s="79">
        <f t="shared" si="61"/>
        <v>0</v>
      </c>
      <c r="R53" s="79">
        <f t="shared" ref="R53" si="62">Q53</f>
        <v>0</v>
      </c>
      <c r="S53" s="79">
        <f t="shared" ref="S53" si="63">R53</f>
        <v>0</v>
      </c>
    </row>
    <row r="54" spans="1:25 16384:16384" x14ac:dyDescent="0.25">
      <c r="A54" s="35" t="s">
        <v>279</v>
      </c>
      <c r="B54" s="35"/>
      <c r="C54" s="79">
        <v>0</v>
      </c>
      <c r="D54" s="79">
        <v>0</v>
      </c>
      <c r="E54" s="122"/>
      <c r="F54" s="79">
        <f>'Loan and interest'!B26</f>
        <v>720</v>
      </c>
      <c r="G54" s="79">
        <f>'Loan and interest'!C26</f>
        <v>681.92735981374994</v>
      </c>
      <c r="H54" s="79">
        <f>'Loan and interest'!D26</f>
        <v>638.57709519003367</v>
      </c>
      <c r="I54" s="79">
        <f>'Loan and interest'!E26</f>
        <v>583.71712571752346</v>
      </c>
      <c r="J54" s="79">
        <f>'Loan and interest'!F26</f>
        <v>511.39572774072798</v>
      </c>
      <c r="K54" s="79">
        <f>'Loan and interest'!G26</f>
        <v>433.6839164374698</v>
      </c>
      <c r="L54" s="79">
        <f>'Loan and interest'!H26</f>
        <v>350.35290787381757</v>
      </c>
      <c r="M54" s="79">
        <f>'Loan and interest'!I26</f>
        <v>216.16565780312334</v>
      </c>
      <c r="N54" s="79">
        <f>'Loan and interest'!J26</f>
        <v>143.99999900000012</v>
      </c>
      <c r="O54" s="79">
        <f>'Loan and interest'!K26</f>
        <v>72.000000000000114</v>
      </c>
      <c r="P54" s="79">
        <f>'Loan and interest'!L26</f>
        <v>1.1368683772161603E-13</v>
      </c>
      <c r="Q54" s="79">
        <f>'Loan and interest'!M26</f>
        <v>1.1368683772161603E-13</v>
      </c>
      <c r="R54" s="79">
        <f>'Loan and interest'!N26</f>
        <v>1.1368683772161603E-13</v>
      </c>
      <c r="S54" s="79">
        <f>'Loan and interest'!O26</f>
        <v>1.1368683772161603E-13</v>
      </c>
    </row>
    <row r="55" spans="1:25 16384:16384" x14ac:dyDescent="0.25">
      <c r="A55" s="35" t="s">
        <v>226</v>
      </c>
      <c r="B55" s="35"/>
      <c r="C55" s="39"/>
      <c r="D55" s="79">
        <f>D53+D54-C53-C54</f>
        <v>-13.75</v>
      </c>
      <c r="E55" s="122"/>
      <c r="F55" s="79">
        <f>F53+F54-D53-D54</f>
        <v>701.25</v>
      </c>
      <c r="G55" s="79">
        <f t="shared" ref="G55:Q55" si="64">G53+G54-F53-F54</f>
        <v>-56.822640186250055</v>
      </c>
      <c r="H55" s="79">
        <f t="shared" si="64"/>
        <v>-62.100264623716271</v>
      </c>
      <c r="I55" s="79">
        <f t="shared" si="64"/>
        <v>-67.359969472510215</v>
      </c>
      <c r="J55" s="79">
        <f t="shared" si="64"/>
        <v>-72.321397976795481</v>
      </c>
      <c r="K55" s="79">
        <f t="shared" si="64"/>
        <v>-77.711811303258173</v>
      </c>
      <c r="L55" s="79">
        <f t="shared" si="64"/>
        <v>-83.331008563652233</v>
      </c>
      <c r="M55" s="79">
        <f t="shared" si="64"/>
        <v>-134.18725007069423</v>
      </c>
      <c r="N55" s="79">
        <f t="shared" si="64"/>
        <v>-72.165658803123222</v>
      </c>
      <c r="O55" s="79">
        <f t="shared" si="64"/>
        <v>-71.999999000000003</v>
      </c>
      <c r="P55" s="79">
        <f t="shared" si="64"/>
        <v>-72</v>
      </c>
      <c r="Q55" s="79">
        <f t="shared" si="64"/>
        <v>0</v>
      </c>
      <c r="R55" s="79">
        <f t="shared" ref="R55" si="65">R53+R54-Q53-Q54</f>
        <v>0</v>
      </c>
      <c r="S55" s="79">
        <f t="shared" ref="S55" si="66">S53+S54-R53-R54</f>
        <v>0</v>
      </c>
    </row>
    <row r="56" spans="1:25 16384:16384" s="42" customFormat="1" x14ac:dyDescent="0.25">
      <c r="A56" s="37"/>
      <c r="B56" s="35"/>
      <c r="C56" s="85"/>
      <c r="D56" s="86"/>
      <c r="E56" s="123"/>
      <c r="F56" s="86"/>
      <c r="G56" s="86"/>
      <c r="H56" s="86"/>
      <c r="I56" s="86"/>
      <c r="J56" s="86"/>
      <c r="K56" s="86"/>
      <c r="L56" s="86"/>
      <c r="M56" s="86"/>
      <c r="N56" s="86"/>
      <c r="O56" s="86"/>
      <c r="P56" s="86"/>
      <c r="Q56" s="86"/>
      <c r="R56" s="86"/>
      <c r="S56" s="86"/>
      <c r="T56" s="108" t="s">
        <v>318</v>
      </c>
    </row>
    <row r="57" spans="1:25 16384:16384" x14ac:dyDescent="0.25">
      <c r="A57" s="35" t="s">
        <v>293</v>
      </c>
      <c r="B57" s="50"/>
      <c r="C57" s="91"/>
      <c r="D57" s="107">
        <f>D48+D35-D50-D52+D55</f>
        <v>109.97755000000001</v>
      </c>
      <c r="E57" s="123"/>
      <c r="F57" s="107">
        <f t="shared" ref="F57:S57" si="67">F48+F35-F50-F52+F55</f>
        <v>830.57610375000002</v>
      </c>
      <c r="G57" s="107">
        <f t="shared" si="67"/>
        <v>44.999999999999972</v>
      </c>
      <c r="H57" s="107">
        <f t="shared" si="67"/>
        <v>44.999999999999957</v>
      </c>
      <c r="I57" s="107">
        <f t="shared" si="67"/>
        <v>45.000000000000014</v>
      </c>
      <c r="J57" s="107">
        <f t="shared" si="67"/>
        <v>45.000000000000043</v>
      </c>
      <c r="K57" s="107">
        <f t="shared" si="67"/>
        <v>44.999999000000017</v>
      </c>
      <c r="L57" s="107">
        <f t="shared" si="67"/>
        <v>44.999999000000059</v>
      </c>
      <c r="M57" s="107">
        <f t="shared" si="67"/>
        <v>0</v>
      </c>
      <c r="N57" s="107">
        <f t="shared" si="67"/>
        <v>69.060541231608227</v>
      </c>
      <c r="O57" s="107">
        <f t="shared" si="67"/>
        <v>75.100886375060952</v>
      </c>
      <c r="P57" s="107">
        <f t="shared" si="67"/>
        <v>81.103275914862991</v>
      </c>
      <c r="Q57" s="107">
        <f t="shared" si="67"/>
        <v>159.24075619230894</v>
      </c>
      <c r="R57" s="107">
        <f t="shared" si="67"/>
        <v>164.01797887807817</v>
      </c>
      <c r="S57" s="107">
        <f t="shared" si="67"/>
        <v>168.93851824442055</v>
      </c>
      <c r="T57" s="107">
        <f>S57*(1+I15)/(I17-I15)</f>
        <v>1476.3757463968925</v>
      </c>
      <c r="XFD57" s="79"/>
    </row>
    <row r="58" spans="1:25 16384:16384" x14ac:dyDescent="0.25">
      <c r="A58" s="65"/>
      <c r="B58" s="65"/>
      <c r="C58" s="122"/>
      <c r="D58" s="147"/>
      <c r="E58" s="123"/>
      <c r="F58" s="147"/>
      <c r="G58" s="147"/>
      <c r="H58" s="147"/>
      <c r="I58" s="147"/>
      <c r="J58" s="147"/>
      <c r="K58" s="147"/>
      <c r="L58" s="147"/>
      <c r="M58" s="147"/>
      <c r="N58" s="147"/>
      <c r="O58" s="147"/>
      <c r="P58" s="147"/>
      <c r="Q58" s="147"/>
      <c r="R58" s="147"/>
      <c r="S58" s="147"/>
      <c r="XFD58" s="79"/>
    </row>
    <row r="59" spans="1:25 16384:16384" x14ac:dyDescent="0.25">
      <c r="A59" s="65" t="s">
        <v>294</v>
      </c>
      <c r="B59" s="65"/>
      <c r="C59" s="122"/>
      <c r="D59" s="147"/>
      <c r="E59" s="123"/>
      <c r="F59" s="147"/>
      <c r="G59" s="147">
        <f t="shared" ref="G59:L59" si="68">$B$5</f>
        <v>45</v>
      </c>
      <c r="H59" s="147">
        <f t="shared" si="68"/>
        <v>45</v>
      </c>
      <c r="I59" s="147">
        <f t="shared" si="68"/>
        <v>45</v>
      </c>
      <c r="J59" s="147">
        <f t="shared" si="68"/>
        <v>45</v>
      </c>
      <c r="K59" s="147">
        <f t="shared" si="68"/>
        <v>45</v>
      </c>
      <c r="L59" s="147">
        <f t="shared" si="68"/>
        <v>45</v>
      </c>
      <c r="M59" s="147"/>
      <c r="N59" s="147"/>
      <c r="O59" s="147"/>
      <c r="P59" s="147"/>
      <c r="Q59" s="147"/>
      <c r="R59" s="147"/>
      <c r="S59" s="147"/>
      <c r="XFD59" s="79"/>
    </row>
    <row r="60" spans="1:25 16384:16384" x14ac:dyDescent="0.25">
      <c r="A60" s="50" t="s">
        <v>289</v>
      </c>
      <c r="B60" s="50"/>
      <c r="C60" s="91"/>
      <c r="D60" s="107">
        <f>D57-D59</f>
        <v>109.97755000000001</v>
      </c>
      <c r="E60" s="123"/>
      <c r="F60" s="107">
        <f t="shared" ref="F60:Q60" si="69">F57-F59</f>
        <v>830.57610375000002</v>
      </c>
      <c r="G60" s="107">
        <f t="shared" si="69"/>
        <v>0</v>
      </c>
      <c r="H60" s="107">
        <f t="shared" si="69"/>
        <v>0</v>
      </c>
      <c r="I60" s="107">
        <f t="shared" si="69"/>
        <v>0</v>
      </c>
      <c r="J60" s="107">
        <f t="shared" si="69"/>
        <v>0</v>
      </c>
      <c r="K60" s="107">
        <f t="shared" si="69"/>
        <v>-9.9999998326438799E-7</v>
      </c>
      <c r="L60" s="107">
        <f t="shared" si="69"/>
        <v>-9.9999994063182385E-7</v>
      </c>
      <c r="M60" s="107">
        <f t="shared" si="69"/>
        <v>0</v>
      </c>
      <c r="N60" s="107">
        <f t="shared" si="69"/>
        <v>69.060541231608227</v>
      </c>
      <c r="O60" s="107">
        <f t="shared" si="69"/>
        <v>75.100886375060952</v>
      </c>
      <c r="P60" s="107">
        <f t="shared" si="69"/>
        <v>81.103275914862991</v>
      </c>
      <c r="Q60" s="107">
        <f t="shared" si="69"/>
        <v>159.24075619230894</v>
      </c>
      <c r="R60" s="107">
        <f t="shared" ref="R60" si="70">R57-R59</f>
        <v>164.01797887807817</v>
      </c>
      <c r="S60" s="107">
        <f t="shared" ref="S60:T60" si="71">S57-S59</f>
        <v>168.93851824442055</v>
      </c>
      <c r="T60" s="107">
        <f t="shared" si="71"/>
        <v>1476.3757463968925</v>
      </c>
      <c r="XFD60" s="79"/>
    </row>
    <row r="61" spans="1:25 16384:16384" x14ac:dyDescent="0.25">
      <c r="A61" s="35" t="s">
        <v>288</v>
      </c>
      <c r="B61" s="65"/>
      <c r="C61" s="122"/>
      <c r="D61" s="147"/>
      <c r="E61" s="147"/>
      <c r="F61" s="147"/>
      <c r="G61" s="147">
        <f t="shared" ref="G61:S61" si="72">MIN($B$23*$B$7,G60)</f>
        <v>0</v>
      </c>
      <c r="H61" s="147">
        <f t="shared" si="72"/>
        <v>0</v>
      </c>
      <c r="I61" s="147">
        <f t="shared" si="72"/>
        <v>0</v>
      </c>
      <c r="J61" s="147">
        <f t="shared" si="72"/>
        <v>0</v>
      </c>
      <c r="K61" s="147">
        <f t="shared" si="72"/>
        <v>-9.9999998326438799E-7</v>
      </c>
      <c r="L61" s="147">
        <f t="shared" si="72"/>
        <v>-9.9999994063182385E-7</v>
      </c>
      <c r="M61" s="147">
        <f t="shared" si="72"/>
        <v>0</v>
      </c>
      <c r="N61" s="147">
        <f t="shared" si="72"/>
        <v>18</v>
      </c>
      <c r="O61" s="147">
        <f t="shared" si="72"/>
        <v>18</v>
      </c>
      <c r="P61" s="147">
        <f t="shared" si="72"/>
        <v>18</v>
      </c>
      <c r="Q61" s="147">
        <f t="shared" si="72"/>
        <v>18</v>
      </c>
      <c r="R61" s="147">
        <f t="shared" si="72"/>
        <v>18</v>
      </c>
      <c r="S61" s="147">
        <f t="shared" si="72"/>
        <v>18</v>
      </c>
      <c r="T61" s="147">
        <f>S61/I17</f>
        <v>150</v>
      </c>
      <c r="XFD61" s="79"/>
    </row>
    <row r="62" spans="1:25 16384:16384" x14ac:dyDescent="0.25">
      <c r="A62" s="50" t="s">
        <v>336</v>
      </c>
      <c r="B62" s="50"/>
      <c r="C62" s="91"/>
      <c r="D62" s="107">
        <f>D60-D61</f>
        <v>109.97755000000001</v>
      </c>
      <c r="E62" s="123"/>
      <c r="F62" s="107">
        <f t="shared" ref="F62:Q62" si="73">F60-F61</f>
        <v>830.57610375000002</v>
      </c>
      <c r="G62" s="107">
        <f t="shared" si="73"/>
        <v>0</v>
      </c>
      <c r="H62" s="107">
        <f t="shared" si="73"/>
        <v>0</v>
      </c>
      <c r="I62" s="107">
        <f t="shared" si="73"/>
        <v>0</v>
      </c>
      <c r="J62" s="107">
        <f t="shared" si="73"/>
        <v>0</v>
      </c>
      <c r="K62" s="107">
        <f t="shared" si="73"/>
        <v>0</v>
      </c>
      <c r="L62" s="107">
        <f t="shared" si="73"/>
        <v>0</v>
      </c>
      <c r="M62" s="107">
        <f t="shared" si="73"/>
        <v>0</v>
      </c>
      <c r="N62" s="107">
        <f t="shared" si="73"/>
        <v>51.060541231608227</v>
      </c>
      <c r="O62" s="107">
        <f t="shared" si="73"/>
        <v>57.100886375060952</v>
      </c>
      <c r="P62" s="107">
        <f t="shared" si="73"/>
        <v>63.103275914862991</v>
      </c>
      <c r="Q62" s="107">
        <f t="shared" si="73"/>
        <v>141.24075619230894</v>
      </c>
      <c r="R62" s="107">
        <f t="shared" ref="R62" si="74">R60-R61</f>
        <v>146.01797887807817</v>
      </c>
      <c r="S62" s="107">
        <f t="shared" ref="S62" si="75">S60-S61</f>
        <v>150.93851824442055</v>
      </c>
      <c r="T62" s="107">
        <f>T60-T61</f>
        <v>1326.3757463968925</v>
      </c>
      <c r="XFD62" s="79"/>
    </row>
    <row r="63" spans="1:25 16384:16384" x14ac:dyDescent="0.25">
      <c r="A63" s="65" t="s">
        <v>346</v>
      </c>
      <c r="B63" s="65"/>
      <c r="C63" s="122"/>
      <c r="D63" s="147"/>
      <c r="E63" s="123"/>
      <c r="F63" s="147"/>
      <c r="G63" s="122">
        <f>$B$4/($B$4+$B$8)</f>
        <v>0.51923076923076927</v>
      </c>
      <c r="H63" s="122">
        <f t="shared" ref="H63:T63" si="76">$B$4/($B$4+$B$8)</f>
        <v>0.51923076923076927</v>
      </c>
      <c r="I63" s="122">
        <f t="shared" si="76"/>
        <v>0.51923076923076927</v>
      </c>
      <c r="J63" s="122">
        <f t="shared" si="76"/>
        <v>0.51923076923076927</v>
      </c>
      <c r="K63" s="122">
        <f t="shared" si="76"/>
        <v>0.51923076923076927</v>
      </c>
      <c r="L63" s="122">
        <f t="shared" si="76"/>
        <v>0.51923076923076927</v>
      </c>
      <c r="M63" s="122">
        <f t="shared" si="76"/>
        <v>0.51923076923076927</v>
      </c>
      <c r="N63" s="122">
        <f t="shared" si="76"/>
        <v>0.51923076923076927</v>
      </c>
      <c r="O63" s="122">
        <f t="shared" si="76"/>
        <v>0.51923076923076927</v>
      </c>
      <c r="P63" s="122">
        <f t="shared" si="76"/>
        <v>0.51923076923076927</v>
      </c>
      <c r="Q63" s="122">
        <f t="shared" si="76"/>
        <v>0.51923076923076927</v>
      </c>
      <c r="R63" s="122">
        <f t="shared" si="76"/>
        <v>0.51923076923076927</v>
      </c>
      <c r="S63" s="122">
        <f t="shared" si="76"/>
        <v>0.51923076923076927</v>
      </c>
      <c r="T63" s="122">
        <f t="shared" si="76"/>
        <v>0.51923076923076927</v>
      </c>
      <c r="XFD63" s="79"/>
    </row>
    <row r="64" spans="1:25 16384:16384" x14ac:dyDescent="0.25">
      <c r="A64" s="65" t="s">
        <v>295</v>
      </c>
      <c r="B64" s="65"/>
      <c r="C64" s="122"/>
      <c r="D64" s="147"/>
      <c r="E64" s="147"/>
      <c r="F64" s="147"/>
      <c r="G64" s="147">
        <f>MAX(G63*G62-G59,0)</f>
        <v>0</v>
      </c>
      <c r="H64" s="147">
        <f t="shared" ref="H64:T64" si="77">MAX(H63*H62-H59,0)</f>
        <v>0</v>
      </c>
      <c r="I64" s="147">
        <f t="shared" si="77"/>
        <v>0</v>
      </c>
      <c r="J64" s="147">
        <f t="shared" si="77"/>
        <v>0</v>
      </c>
      <c r="K64" s="147">
        <f t="shared" si="77"/>
        <v>0</v>
      </c>
      <c r="L64" s="147">
        <f t="shared" si="77"/>
        <v>0</v>
      </c>
      <c r="M64" s="147">
        <f t="shared" si="77"/>
        <v>0</v>
      </c>
      <c r="N64" s="147">
        <f t="shared" si="77"/>
        <v>26.512204101027351</v>
      </c>
      <c r="O64" s="147">
        <f t="shared" si="77"/>
        <v>29.648537156281652</v>
      </c>
      <c r="P64" s="147">
        <f t="shared" si="77"/>
        <v>32.765162494255783</v>
      </c>
      <c r="Q64" s="147">
        <f t="shared" si="77"/>
        <v>73.336546484468101</v>
      </c>
      <c r="R64" s="147">
        <f t="shared" si="77"/>
        <v>75.81702749438675</v>
      </c>
      <c r="S64" s="147">
        <f t="shared" si="77"/>
        <v>78.371922934602978</v>
      </c>
      <c r="T64" s="147">
        <f t="shared" si="77"/>
        <v>688.69509909069427</v>
      </c>
      <c r="U64" s="221"/>
      <c r="V64" s="109"/>
      <c r="XFD64" s="79"/>
    </row>
    <row r="65" spans="1:20 16384:16384" x14ac:dyDescent="0.25">
      <c r="A65" s="65" t="s">
        <v>337</v>
      </c>
      <c r="B65" s="65"/>
      <c r="C65" s="122"/>
      <c r="D65" s="147"/>
      <c r="E65" s="147"/>
      <c r="F65" s="147"/>
      <c r="G65" s="147">
        <f>G62-G64</f>
        <v>0</v>
      </c>
      <c r="H65" s="147">
        <f t="shared" ref="H65:Q65" si="78">H62-H64</f>
        <v>0</v>
      </c>
      <c r="I65" s="147">
        <f t="shared" si="78"/>
        <v>0</v>
      </c>
      <c r="J65" s="147">
        <f t="shared" si="78"/>
        <v>0</v>
      </c>
      <c r="K65" s="147">
        <f t="shared" si="78"/>
        <v>0</v>
      </c>
      <c r="L65" s="147">
        <f t="shared" si="78"/>
        <v>0</v>
      </c>
      <c r="M65" s="147">
        <f t="shared" si="78"/>
        <v>0</v>
      </c>
      <c r="N65" s="147">
        <f t="shared" si="78"/>
        <v>24.548337130580876</v>
      </c>
      <c r="O65" s="147">
        <f t="shared" si="78"/>
        <v>27.4523492187793</v>
      </c>
      <c r="P65" s="147">
        <f t="shared" si="78"/>
        <v>30.338113420607208</v>
      </c>
      <c r="Q65" s="147">
        <f t="shared" si="78"/>
        <v>67.904209707840835</v>
      </c>
      <c r="R65" s="147">
        <f t="shared" ref="R65" si="79">R62-R64</f>
        <v>70.200951383691418</v>
      </c>
      <c r="S65" s="147">
        <f t="shared" ref="S65:T65" si="80">S62-S64</f>
        <v>72.566595309817572</v>
      </c>
      <c r="T65" s="147">
        <f t="shared" si="80"/>
        <v>637.68064730619824</v>
      </c>
      <c r="XFD65" s="79"/>
    </row>
    <row r="66" spans="1:20 16384:16384" ht="16.5" thickBot="1" x14ac:dyDescent="0.3">
      <c r="A66" s="65"/>
      <c r="B66" s="65"/>
      <c r="C66" s="122"/>
      <c r="D66" s="147"/>
      <c r="E66" s="123"/>
      <c r="F66" s="147"/>
      <c r="G66" s="147"/>
      <c r="H66" s="147"/>
      <c r="I66" s="147"/>
      <c r="J66" s="147"/>
      <c r="K66" s="147"/>
      <c r="L66" s="147"/>
      <c r="M66" s="147"/>
      <c r="N66" s="147"/>
      <c r="O66" s="147"/>
      <c r="P66" s="147"/>
      <c r="Q66" s="147"/>
      <c r="R66" s="147"/>
      <c r="S66" s="35"/>
      <c r="XFD66" s="79"/>
    </row>
    <row r="67" spans="1:20 16384:16384" x14ac:dyDescent="0.25">
      <c r="A67" s="159" t="s">
        <v>287</v>
      </c>
      <c r="B67" s="161"/>
      <c r="C67" s="183"/>
      <c r="D67" s="184"/>
      <c r="E67" s="185"/>
      <c r="F67" s="184"/>
      <c r="G67" s="234" t="s">
        <v>319</v>
      </c>
      <c r="H67" s="234"/>
      <c r="I67" s="234"/>
      <c r="J67" s="234"/>
      <c r="K67" s="234"/>
      <c r="L67" s="234"/>
      <c r="M67" s="234"/>
      <c r="N67" s="234"/>
      <c r="O67" s="234"/>
      <c r="P67" s="234"/>
      <c r="Q67" s="235" t="s">
        <v>327</v>
      </c>
      <c r="R67" s="236"/>
      <c r="S67" s="237"/>
      <c r="XFD67" s="79"/>
    </row>
    <row r="68" spans="1:20 16384:16384" x14ac:dyDescent="0.25">
      <c r="A68" s="186"/>
      <c r="B68" s="109"/>
      <c r="C68" s="109"/>
      <c r="D68" s="66"/>
      <c r="E68" s="109"/>
      <c r="F68" s="181" t="s">
        <v>191</v>
      </c>
      <c r="G68" s="181" t="s">
        <v>192</v>
      </c>
      <c r="H68" s="182" t="s">
        <v>193</v>
      </c>
      <c r="I68" s="182" t="s">
        <v>194</v>
      </c>
      <c r="J68" s="182" t="s">
        <v>211</v>
      </c>
      <c r="K68" s="182" t="s">
        <v>212</v>
      </c>
      <c r="L68" s="182" t="s">
        <v>213</v>
      </c>
      <c r="M68" s="182" t="s">
        <v>214</v>
      </c>
      <c r="N68" s="182" t="s">
        <v>215</v>
      </c>
      <c r="O68" s="182" t="s">
        <v>216</v>
      </c>
      <c r="P68" s="182" t="s">
        <v>217</v>
      </c>
      <c r="Q68" s="191" t="s">
        <v>247</v>
      </c>
      <c r="R68" s="182" t="s">
        <v>313</v>
      </c>
      <c r="S68" s="187" t="s">
        <v>317</v>
      </c>
      <c r="XFD68" s="79"/>
    </row>
    <row r="69" spans="1:20 16384:16384" x14ac:dyDescent="0.25">
      <c r="A69" s="153" t="s">
        <v>165</v>
      </c>
      <c r="B69" s="109"/>
      <c r="C69" s="109"/>
      <c r="D69" s="66"/>
      <c r="E69" s="54"/>
      <c r="F69" s="111">
        <v>720</v>
      </c>
      <c r="G69" s="177">
        <f t="shared" ref="G69:Q69" si="81">F69-G70</f>
        <v>681.92735981374994</v>
      </c>
      <c r="H69" s="177">
        <f t="shared" si="81"/>
        <v>638.57709519003367</v>
      </c>
      <c r="I69" s="177">
        <f t="shared" si="81"/>
        <v>583.71712571752346</v>
      </c>
      <c r="J69" s="177">
        <f t="shared" si="81"/>
        <v>511.39572774072798</v>
      </c>
      <c r="K69" s="177">
        <f t="shared" si="81"/>
        <v>433.6839164374698</v>
      </c>
      <c r="L69" s="177">
        <f t="shared" si="81"/>
        <v>350.35290787381757</v>
      </c>
      <c r="M69" s="177">
        <f t="shared" si="81"/>
        <v>216.16565780312334</v>
      </c>
      <c r="N69" s="177">
        <f t="shared" si="81"/>
        <v>143.99999900000012</v>
      </c>
      <c r="O69" s="177">
        <f t="shared" si="81"/>
        <v>72.000000000000114</v>
      </c>
      <c r="P69" s="178">
        <f t="shared" si="81"/>
        <v>1.1368683772161603E-13</v>
      </c>
      <c r="Q69" s="192">
        <f t="shared" si="81"/>
        <v>1.1368683772161603E-13</v>
      </c>
      <c r="R69" s="177">
        <f t="shared" ref="R69:S69" si="82">Q69-R70</f>
        <v>1.1368683772161603E-13</v>
      </c>
      <c r="S69" s="188">
        <f t="shared" si="82"/>
        <v>1.1368683772161603E-13</v>
      </c>
      <c r="XFD69" s="79"/>
    </row>
    <row r="70" spans="1:20 16384:16384" x14ac:dyDescent="0.25">
      <c r="A70" s="153" t="s">
        <v>285</v>
      </c>
      <c r="B70" s="109"/>
      <c r="C70" s="109"/>
      <c r="D70" s="66"/>
      <c r="E70" s="54"/>
      <c r="F70" s="109"/>
      <c r="G70" s="179">
        <v>38.072640186250055</v>
      </c>
      <c r="H70" s="179">
        <v>43.350264623716242</v>
      </c>
      <c r="I70" s="179">
        <v>54.859969472510244</v>
      </c>
      <c r="J70" s="179">
        <v>72.321397976795481</v>
      </c>
      <c r="K70" s="179">
        <v>77.711811303258159</v>
      </c>
      <c r="L70" s="179">
        <v>83.331008563652262</v>
      </c>
      <c r="M70" s="179">
        <v>134.18725007069423</v>
      </c>
      <c r="N70" s="179">
        <v>72.165658803123222</v>
      </c>
      <c r="O70" s="179">
        <v>71.999999000000003</v>
      </c>
      <c r="P70" s="179">
        <v>72</v>
      </c>
      <c r="Q70" s="198">
        <v>0</v>
      </c>
      <c r="R70" s="199">
        <v>0</v>
      </c>
      <c r="S70" s="200">
        <v>0</v>
      </c>
      <c r="XFD70" s="79"/>
    </row>
    <row r="71" spans="1:20 16384:16384" x14ac:dyDescent="0.25">
      <c r="A71" s="153" t="s">
        <v>296</v>
      </c>
      <c r="B71" s="109"/>
      <c r="C71" s="109"/>
      <c r="D71" s="66"/>
      <c r="E71" s="54"/>
      <c r="F71" s="109"/>
      <c r="G71" s="65">
        <v>72</v>
      </c>
      <c r="H71" s="65">
        <v>72</v>
      </c>
      <c r="I71" s="65">
        <v>72</v>
      </c>
      <c r="J71" s="65">
        <v>72</v>
      </c>
      <c r="K71" s="65">
        <v>72</v>
      </c>
      <c r="L71" s="65">
        <v>72</v>
      </c>
      <c r="M71" s="65">
        <v>72</v>
      </c>
      <c r="N71" s="65">
        <v>72</v>
      </c>
      <c r="O71" s="65">
        <v>72</v>
      </c>
      <c r="P71" s="65">
        <v>72</v>
      </c>
      <c r="Q71" s="193">
        <v>0</v>
      </c>
      <c r="R71" s="65">
        <v>0</v>
      </c>
      <c r="S71" s="154">
        <v>0</v>
      </c>
      <c r="XFD71" s="79"/>
    </row>
    <row r="72" spans="1:20 16384:16384" x14ac:dyDescent="0.25">
      <c r="A72" s="153" t="s">
        <v>297</v>
      </c>
      <c r="B72" s="109"/>
      <c r="C72" s="109"/>
      <c r="D72" s="66"/>
      <c r="E72" s="54"/>
      <c r="F72" s="109"/>
      <c r="G72" s="65">
        <f>G71</f>
        <v>72</v>
      </c>
      <c r="H72" s="65">
        <f>G72+H71</f>
        <v>144</v>
      </c>
      <c r="I72" s="65">
        <f t="shared" ref="I72:P72" si="83">H72+I71</f>
        <v>216</v>
      </c>
      <c r="J72" s="65">
        <f t="shared" si="83"/>
        <v>288</v>
      </c>
      <c r="K72" s="65">
        <f t="shared" si="83"/>
        <v>360</v>
      </c>
      <c r="L72" s="65">
        <f t="shared" si="83"/>
        <v>432</v>
      </c>
      <c r="M72" s="65">
        <f t="shared" si="83"/>
        <v>504</v>
      </c>
      <c r="N72" s="65">
        <f t="shared" si="83"/>
        <v>576</v>
      </c>
      <c r="O72" s="65">
        <f t="shared" si="83"/>
        <v>648</v>
      </c>
      <c r="P72" s="65">
        <f t="shared" si="83"/>
        <v>720</v>
      </c>
      <c r="Q72" s="193">
        <f>P72+Q71</f>
        <v>720</v>
      </c>
      <c r="R72" s="65">
        <f t="shared" ref="R72:S72" si="84">Q72+R71</f>
        <v>720</v>
      </c>
      <c r="S72" s="154">
        <f t="shared" si="84"/>
        <v>720</v>
      </c>
      <c r="XFD72" s="79"/>
    </row>
    <row r="73" spans="1:20 16384:16384" x14ac:dyDescent="0.25">
      <c r="A73" s="153" t="s">
        <v>298</v>
      </c>
      <c r="B73" s="109"/>
      <c r="C73" s="109"/>
      <c r="D73" s="66"/>
      <c r="E73" s="54"/>
      <c r="F73" s="109"/>
      <c r="G73" s="152">
        <f>G57+G70-G59</f>
        <v>38.072640186250027</v>
      </c>
      <c r="H73" s="152">
        <f t="shared" ref="H73:S73" si="85">H57+H70-H59</f>
        <v>43.3502646237162</v>
      </c>
      <c r="I73" s="152">
        <f t="shared" si="85"/>
        <v>54.859969472510258</v>
      </c>
      <c r="J73" s="152">
        <f t="shared" si="85"/>
        <v>72.321397976795524</v>
      </c>
      <c r="K73" s="152">
        <f t="shared" si="85"/>
        <v>77.711810303258176</v>
      </c>
      <c r="L73" s="152">
        <f t="shared" si="85"/>
        <v>83.331007563652321</v>
      </c>
      <c r="M73" s="152">
        <f>M57+M70-M59</f>
        <v>134.18725007069423</v>
      </c>
      <c r="N73" s="152">
        <f t="shared" si="85"/>
        <v>141.22620003473145</v>
      </c>
      <c r="O73" s="152">
        <f t="shared" si="85"/>
        <v>147.10088537506095</v>
      </c>
      <c r="P73" s="152">
        <f t="shared" si="85"/>
        <v>153.10327591486299</v>
      </c>
      <c r="Q73" s="194">
        <f t="shared" si="85"/>
        <v>159.24075619230894</v>
      </c>
      <c r="R73" s="152">
        <f t="shared" si="85"/>
        <v>164.01797887807817</v>
      </c>
      <c r="S73" s="189">
        <f t="shared" si="85"/>
        <v>168.93851824442055</v>
      </c>
      <c r="XFD73" s="79"/>
    </row>
    <row r="74" spans="1:20 16384:16384" s="35" customFormat="1" x14ac:dyDescent="0.25">
      <c r="A74" s="153" t="s">
        <v>299</v>
      </c>
      <c r="B74" s="122"/>
      <c r="C74" s="122"/>
      <c r="D74" s="122"/>
      <c r="E74" s="122"/>
      <c r="F74" s="57"/>
      <c r="G74" s="73">
        <f>MIN(G73,G72)</f>
        <v>38.072640186250027</v>
      </c>
      <c r="H74" s="73">
        <f>IF(G75+H73&lt;H72,MIN(H73,H72),H72-G75)</f>
        <v>43.3502646237162</v>
      </c>
      <c r="I74" s="73">
        <f t="shared" ref="I74:Q74" si="86">IF(H75+I73&lt;I72,MIN(I73,I72),I72-H75)</f>
        <v>54.859969472510258</v>
      </c>
      <c r="J74" s="73">
        <f t="shared" si="86"/>
        <v>72.321397976795524</v>
      </c>
      <c r="K74" s="73">
        <f t="shared" si="86"/>
        <v>77.711810303258176</v>
      </c>
      <c r="L74" s="73">
        <f t="shared" si="86"/>
        <v>83.331007563652321</v>
      </c>
      <c r="M74" s="73">
        <f t="shared" si="86"/>
        <v>134.18725007069423</v>
      </c>
      <c r="N74" s="73">
        <f t="shared" si="86"/>
        <v>72.165659803123219</v>
      </c>
      <c r="O74" s="73">
        <f t="shared" si="86"/>
        <v>72</v>
      </c>
      <c r="P74" s="73">
        <f t="shared" si="86"/>
        <v>72</v>
      </c>
      <c r="Q74" s="195">
        <f t="shared" si="86"/>
        <v>0</v>
      </c>
      <c r="R74" s="73">
        <f t="shared" ref="R74" si="87">IF(Q75+R73&lt;R72,MIN(R73,R72),R72-Q75)</f>
        <v>0</v>
      </c>
      <c r="S74" s="190">
        <f t="shared" ref="S74" si="88">IF(R75+S73&lt;S72,MIN(S73,S72),S72-R75)</f>
        <v>0</v>
      </c>
    </row>
    <row r="75" spans="1:20 16384:16384" s="35" customFormat="1" x14ac:dyDescent="0.25">
      <c r="A75" s="153" t="s">
        <v>300</v>
      </c>
      <c r="B75" s="122"/>
      <c r="C75" s="122"/>
      <c r="D75" s="122"/>
      <c r="E75" s="122"/>
      <c r="F75" s="57"/>
      <c r="G75" s="73">
        <f>G74</f>
        <v>38.072640186250027</v>
      </c>
      <c r="H75" s="73">
        <f>G75+H74</f>
        <v>81.422904809966226</v>
      </c>
      <c r="I75" s="73">
        <f t="shared" ref="I75:Q75" si="89">H75+I74</f>
        <v>136.28287428247648</v>
      </c>
      <c r="J75" s="73">
        <f t="shared" si="89"/>
        <v>208.60427225927202</v>
      </c>
      <c r="K75" s="73">
        <f t="shared" si="89"/>
        <v>286.3160825625302</v>
      </c>
      <c r="L75" s="73">
        <f t="shared" si="89"/>
        <v>369.64709012618255</v>
      </c>
      <c r="M75" s="73">
        <f t="shared" si="89"/>
        <v>503.83434019687678</v>
      </c>
      <c r="N75" s="73">
        <f t="shared" si="89"/>
        <v>576</v>
      </c>
      <c r="O75" s="73">
        <f t="shared" si="89"/>
        <v>648</v>
      </c>
      <c r="P75" s="73">
        <f t="shared" si="89"/>
        <v>720</v>
      </c>
      <c r="Q75" s="195">
        <f t="shared" si="89"/>
        <v>720</v>
      </c>
      <c r="R75" s="73">
        <f t="shared" ref="R75" si="90">Q75+R74</f>
        <v>720</v>
      </c>
      <c r="S75" s="190">
        <f t="shared" ref="S75" si="91">R75+S74</f>
        <v>720</v>
      </c>
    </row>
    <row r="76" spans="1:20 16384:16384" s="35" customFormat="1" ht="16.5" thickBot="1" x14ac:dyDescent="0.3">
      <c r="A76" s="155" t="s">
        <v>301</v>
      </c>
      <c r="B76" s="156"/>
      <c r="C76" s="156"/>
      <c r="D76" s="156"/>
      <c r="E76" s="156"/>
      <c r="F76" s="157"/>
      <c r="G76" s="158">
        <f>G70-G74</f>
        <v>0</v>
      </c>
      <c r="H76" s="158">
        <f t="shared" ref="H76:Q76" si="92">H70-H74</f>
        <v>0</v>
      </c>
      <c r="I76" s="158">
        <f t="shared" si="92"/>
        <v>0</v>
      </c>
      <c r="J76" s="158">
        <f t="shared" si="92"/>
        <v>0</v>
      </c>
      <c r="K76" s="158">
        <f t="shared" si="92"/>
        <v>9.9999998326438799E-7</v>
      </c>
      <c r="L76" s="158">
        <f t="shared" si="92"/>
        <v>9.9999994063182385E-7</v>
      </c>
      <c r="M76" s="158">
        <f t="shared" si="92"/>
        <v>0</v>
      </c>
      <c r="N76" s="158">
        <f t="shared" si="92"/>
        <v>-9.9999999747524271E-7</v>
      </c>
      <c r="O76" s="158">
        <f t="shared" si="92"/>
        <v>-9.9999999747524271E-7</v>
      </c>
      <c r="P76" s="158">
        <f t="shared" si="92"/>
        <v>0</v>
      </c>
      <c r="Q76" s="196">
        <f t="shared" si="92"/>
        <v>0</v>
      </c>
      <c r="R76" s="167">
        <f t="shared" ref="R76:S76" si="93">R70-R74</f>
        <v>0</v>
      </c>
      <c r="S76" s="168">
        <f t="shared" si="93"/>
        <v>0</v>
      </c>
    </row>
    <row r="77" spans="1:20 16384:16384" s="35" customFormat="1" x14ac:dyDescent="0.25">
      <c r="A77" s="33"/>
      <c r="B77" s="39"/>
      <c r="C77" s="39"/>
      <c r="D77" s="39"/>
      <c r="E77" s="39"/>
      <c r="F77" s="34"/>
      <c r="G77" s="34"/>
      <c r="H77" s="34"/>
      <c r="I77" s="34"/>
      <c r="J77" s="34"/>
      <c r="K77" s="34"/>
      <c r="L77" s="34"/>
      <c r="M77" s="34"/>
      <c r="N77" s="34"/>
      <c r="O77" s="34"/>
      <c r="P77" s="34"/>
      <c r="Q77" s="34"/>
    </row>
    <row r="78" spans="1:20 16384:16384" s="35" customFormat="1" x14ac:dyDescent="0.25">
      <c r="A78" s="83" t="s">
        <v>224</v>
      </c>
      <c r="B78" s="84"/>
      <c r="C78" s="84"/>
      <c r="D78" s="84"/>
      <c r="E78" s="84"/>
      <c r="F78" s="87" t="s">
        <v>138</v>
      </c>
      <c r="G78" s="87" t="s">
        <v>196</v>
      </c>
      <c r="H78" s="87" t="s">
        <v>197</v>
      </c>
      <c r="I78" s="87" t="s">
        <v>198</v>
      </c>
      <c r="J78" s="87" t="s">
        <v>199</v>
      </c>
      <c r="K78" s="87" t="s">
        <v>201</v>
      </c>
      <c r="L78" s="87" t="s">
        <v>218</v>
      </c>
      <c r="M78" s="87" t="s">
        <v>219</v>
      </c>
      <c r="N78" s="87" t="s">
        <v>220</v>
      </c>
      <c r="O78" s="87" t="s">
        <v>221</v>
      </c>
      <c r="P78" s="87" t="s">
        <v>222</v>
      </c>
      <c r="Q78" s="87" t="s">
        <v>223</v>
      </c>
      <c r="R78" s="87" t="s">
        <v>314</v>
      </c>
      <c r="S78" s="87" t="s">
        <v>315</v>
      </c>
      <c r="T78" s="89" t="s">
        <v>318</v>
      </c>
    </row>
    <row r="79" spans="1:20 16384:16384" x14ac:dyDescent="0.25">
      <c r="A79" s="35" t="s">
        <v>293</v>
      </c>
      <c r="B79" s="33"/>
      <c r="C79" s="33"/>
      <c r="D79" s="33"/>
      <c r="F79" s="38"/>
      <c r="G79" s="88">
        <f t="shared" ref="G79:Q79" si="94">G57</f>
        <v>44.999999999999972</v>
      </c>
      <c r="H79" s="88">
        <f t="shared" si="94"/>
        <v>44.999999999999957</v>
      </c>
      <c r="I79" s="88">
        <f t="shared" si="94"/>
        <v>45.000000000000014</v>
      </c>
      <c r="J79" s="88">
        <f t="shared" si="94"/>
        <v>45.000000000000043</v>
      </c>
      <c r="K79" s="88">
        <f t="shared" si="94"/>
        <v>44.999999000000017</v>
      </c>
      <c r="L79" s="88">
        <f t="shared" si="94"/>
        <v>44.999999000000059</v>
      </c>
      <c r="M79" s="88">
        <f t="shared" si="94"/>
        <v>0</v>
      </c>
      <c r="N79" s="88">
        <f t="shared" si="94"/>
        <v>69.060541231608227</v>
      </c>
      <c r="O79" s="88">
        <f t="shared" si="94"/>
        <v>75.100886375060952</v>
      </c>
      <c r="P79" s="88">
        <f t="shared" si="94"/>
        <v>81.103275914862991</v>
      </c>
      <c r="Q79" s="88">
        <f t="shared" si="94"/>
        <v>159.24075619230894</v>
      </c>
      <c r="R79" s="88">
        <f>R57</f>
        <v>164.01797887807817</v>
      </c>
      <c r="S79" s="88">
        <f>S57</f>
        <v>168.93851824442055</v>
      </c>
      <c r="T79" s="22">
        <f>T57</f>
        <v>1476.3757463968925</v>
      </c>
    </row>
    <row r="80" spans="1:20 16384:16384" x14ac:dyDescent="0.25">
      <c r="A80" s="35" t="s">
        <v>302</v>
      </c>
      <c r="B80" s="33"/>
      <c r="C80" s="33"/>
      <c r="D80" s="33"/>
      <c r="F80" s="38"/>
      <c r="G80" s="88">
        <f t="shared" ref="G80:Q80" si="95">G54-F54</f>
        <v>-38.072640186250055</v>
      </c>
      <c r="H80" s="88">
        <f t="shared" si="95"/>
        <v>-43.350264623716271</v>
      </c>
      <c r="I80" s="88">
        <f t="shared" si="95"/>
        <v>-54.859969472510215</v>
      </c>
      <c r="J80" s="88">
        <f t="shared" si="95"/>
        <v>-72.321397976795481</v>
      </c>
      <c r="K80" s="88">
        <f t="shared" si="95"/>
        <v>-77.711811303258173</v>
      </c>
      <c r="L80" s="88">
        <f t="shared" si="95"/>
        <v>-83.331008563652233</v>
      </c>
      <c r="M80" s="88">
        <f t="shared" si="95"/>
        <v>-134.18725007069423</v>
      </c>
      <c r="N80" s="88">
        <f t="shared" si="95"/>
        <v>-72.165658803123222</v>
      </c>
      <c r="O80" s="88">
        <f t="shared" si="95"/>
        <v>-71.999999000000003</v>
      </c>
      <c r="P80" s="88">
        <f t="shared" si="95"/>
        <v>-72</v>
      </c>
      <c r="Q80" s="88">
        <f t="shared" si="95"/>
        <v>0</v>
      </c>
      <c r="R80" s="88">
        <f>R54-Q54</f>
        <v>0</v>
      </c>
      <c r="S80" s="88">
        <f>S54-R54</f>
        <v>0</v>
      </c>
    </row>
    <row r="81" spans="1:20" x14ac:dyDescent="0.25">
      <c r="A81" s="35" t="s">
        <v>278</v>
      </c>
      <c r="B81" s="33"/>
      <c r="C81" s="33"/>
      <c r="D81" s="33"/>
      <c r="F81" s="38">
        <f t="shared" ref="F81:S81" si="96">F38</f>
        <v>0</v>
      </c>
      <c r="G81" s="88">
        <f t="shared" si="96"/>
        <v>25.200000000000003</v>
      </c>
      <c r="H81" s="88">
        <f t="shared" si="96"/>
        <v>23.867457593481252</v>
      </c>
      <c r="I81" s="88">
        <f t="shared" si="96"/>
        <v>22.350198331651182</v>
      </c>
      <c r="J81" s="88">
        <f t="shared" si="96"/>
        <v>20.430099400113324</v>
      </c>
      <c r="K81" s="88">
        <f t="shared" si="96"/>
        <v>17.898850470925481</v>
      </c>
      <c r="L81" s="88">
        <f t="shared" si="96"/>
        <v>15.178937075311445</v>
      </c>
      <c r="M81" s="88">
        <f t="shared" si="96"/>
        <v>12.262351775583616</v>
      </c>
      <c r="N81" s="88">
        <f t="shared" si="96"/>
        <v>7.5657980231093171</v>
      </c>
      <c r="O81" s="88">
        <f t="shared" si="96"/>
        <v>5.0399999650000042</v>
      </c>
      <c r="P81" s="88">
        <f t="shared" si="96"/>
        <v>2.520000000000004</v>
      </c>
      <c r="Q81" s="88">
        <f t="shared" si="96"/>
        <v>0</v>
      </c>
      <c r="R81" s="88">
        <f t="shared" si="96"/>
        <v>0</v>
      </c>
      <c r="S81" s="88">
        <f t="shared" si="96"/>
        <v>0</v>
      </c>
    </row>
    <row r="82" spans="1:20" x14ac:dyDescent="0.25">
      <c r="A82" s="35" t="s">
        <v>303</v>
      </c>
      <c r="F82" s="79">
        <v>-1600</v>
      </c>
      <c r="G82" s="88"/>
      <c r="H82" s="88"/>
      <c r="I82" s="88"/>
      <c r="J82" s="88"/>
      <c r="K82" s="88"/>
      <c r="L82" s="88"/>
      <c r="M82" s="88"/>
      <c r="N82" s="88"/>
      <c r="O82" s="88"/>
      <c r="P82" s="88"/>
      <c r="Q82" s="88"/>
      <c r="R82" s="88"/>
      <c r="S82" s="88"/>
    </row>
    <row r="83" spans="1:20" x14ac:dyDescent="0.25">
      <c r="A83" s="35" t="s">
        <v>345</v>
      </c>
      <c r="F83" s="79"/>
      <c r="G83" s="88"/>
      <c r="H83" s="88"/>
      <c r="I83" s="88"/>
      <c r="J83" s="88">
        <f>IF(I14&gt;=10%, -B9-B10,0)</f>
        <v>0</v>
      </c>
      <c r="K83" s="88"/>
      <c r="L83" s="88"/>
      <c r="M83" s="88"/>
      <c r="N83" s="88"/>
      <c r="O83" s="88"/>
      <c r="P83" s="88"/>
      <c r="Q83" s="88"/>
      <c r="R83" s="88"/>
      <c r="S83" s="88"/>
    </row>
    <row r="84" spans="1:20" x14ac:dyDescent="0.25">
      <c r="A84" s="50" t="s">
        <v>304</v>
      </c>
      <c r="B84" s="90"/>
      <c r="C84" s="90"/>
      <c r="D84" s="90"/>
      <c r="E84" s="91"/>
      <c r="F84" s="92">
        <f>F79-F80+F81+F82+F83</f>
        <v>-1600</v>
      </c>
      <c r="G84" s="92">
        <f t="shared" ref="G84:R84" si="97">G79-G80+G81+G82+G83</f>
        <v>108.27264018625003</v>
      </c>
      <c r="H84" s="92">
        <f t="shared" si="97"/>
        <v>112.21772221719748</v>
      </c>
      <c r="I84" s="92">
        <f t="shared" si="97"/>
        <v>122.21016780416142</v>
      </c>
      <c r="J84" s="92">
        <f t="shared" si="97"/>
        <v>137.75149737690884</v>
      </c>
      <c r="K84" s="92">
        <f t="shared" si="97"/>
        <v>140.61066077418366</v>
      </c>
      <c r="L84" s="92">
        <f t="shared" si="97"/>
        <v>143.50994463896373</v>
      </c>
      <c r="M84" s="92">
        <f t="shared" si="97"/>
        <v>146.44960184627786</v>
      </c>
      <c r="N84" s="92">
        <f t="shared" si="97"/>
        <v>148.79199805784077</v>
      </c>
      <c r="O84" s="92">
        <f t="shared" si="97"/>
        <v>152.14088534006095</v>
      </c>
      <c r="P84" s="92">
        <f t="shared" si="97"/>
        <v>155.623275914863</v>
      </c>
      <c r="Q84" s="92">
        <f t="shared" si="97"/>
        <v>159.24075619230894</v>
      </c>
      <c r="R84" s="92">
        <f t="shared" si="97"/>
        <v>164.01797887807817</v>
      </c>
      <c r="S84" s="92">
        <f>S79-S80+S81+S82+S83+T79-T80+T81+T82+T83</f>
        <v>1645.314264641313</v>
      </c>
    </row>
    <row r="85" spans="1:20" x14ac:dyDescent="0.25">
      <c r="A85" s="35"/>
      <c r="B85" s="19"/>
      <c r="C85" s="19"/>
      <c r="D85" s="19"/>
      <c r="E85" s="39"/>
      <c r="F85" s="77"/>
      <c r="G85" s="77"/>
      <c r="H85" s="39"/>
      <c r="I85" s="77"/>
      <c r="J85" s="77"/>
      <c r="K85" s="22"/>
    </row>
    <row r="86" spans="1:20" x14ac:dyDescent="0.25">
      <c r="A86" s="35" t="s">
        <v>205</v>
      </c>
      <c r="B86" s="19"/>
      <c r="C86" s="19"/>
      <c r="D86" s="19"/>
      <c r="E86" s="39"/>
      <c r="F86" s="77">
        <v>0</v>
      </c>
      <c r="G86" s="77">
        <v>1</v>
      </c>
      <c r="H86" s="77">
        <v>2</v>
      </c>
      <c r="I86" s="77">
        <v>3</v>
      </c>
      <c r="J86" s="77">
        <v>4</v>
      </c>
      <c r="K86" s="77">
        <v>5</v>
      </c>
      <c r="L86" s="77">
        <v>6</v>
      </c>
      <c r="M86" s="77">
        <v>7</v>
      </c>
      <c r="N86" s="77">
        <v>8</v>
      </c>
      <c r="O86" s="77">
        <v>9</v>
      </c>
      <c r="P86" s="77">
        <v>10</v>
      </c>
      <c r="Q86" s="77">
        <v>11</v>
      </c>
      <c r="R86" s="77">
        <v>12</v>
      </c>
      <c r="S86" s="77">
        <v>13</v>
      </c>
    </row>
    <row r="87" spans="1:20" x14ac:dyDescent="0.25">
      <c r="A87" s="35" t="s">
        <v>248</v>
      </c>
      <c r="F87" s="67">
        <f t="shared" ref="F87:Q87" si="98">1/(1+$I$17)^F86</f>
        <v>1</v>
      </c>
      <c r="G87" s="67">
        <f t="shared" si="98"/>
        <v>0.89285714285714279</v>
      </c>
      <c r="H87" s="67">
        <f t="shared" si="98"/>
        <v>0.79719387755102034</v>
      </c>
      <c r="I87" s="67">
        <f t="shared" si="98"/>
        <v>0.71178024781341087</v>
      </c>
      <c r="J87" s="67">
        <f t="shared" si="98"/>
        <v>0.63551807840483121</v>
      </c>
      <c r="K87" s="67">
        <f t="shared" si="98"/>
        <v>0.56742685571859919</v>
      </c>
      <c r="L87" s="67">
        <f t="shared" si="98"/>
        <v>0.50663112117732068</v>
      </c>
      <c r="M87" s="67">
        <f t="shared" si="98"/>
        <v>0.45234921533689343</v>
      </c>
      <c r="N87" s="67">
        <f t="shared" si="98"/>
        <v>0.4038832279793691</v>
      </c>
      <c r="O87" s="67">
        <f t="shared" si="98"/>
        <v>0.36061002498157957</v>
      </c>
      <c r="P87" s="67">
        <f t="shared" si="98"/>
        <v>0.32197323659069599</v>
      </c>
      <c r="Q87" s="67">
        <f t="shared" si="98"/>
        <v>0.28747610409883567</v>
      </c>
      <c r="R87" s="67">
        <f t="shared" ref="R87:S87" si="99">1/(1+$I$17)^R86</f>
        <v>0.25667509294538904</v>
      </c>
      <c r="S87" s="67">
        <f t="shared" si="99"/>
        <v>0.22917419012981158</v>
      </c>
    </row>
    <row r="88" spans="1:20" x14ac:dyDescent="0.25">
      <c r="A88" s="35" t="s">
        <v>305</v>
      </c>
      <c r="F88" s="21">
        <f>F84*F87</f>
        <v>-1600</v>
      </c>
      <c r="G88" s="21">
        <f>G84*G87</f>
        <v>96.672000166294666</v>
      </c>
      <c r="H88" s="21">
        <f t="shared" ref="H88:J88" si="100">H84*H87</f>
        <v>89.459281104270943</v>
      </c>
      <c r="I88" s="21">
        <f t="shared" si="100"/>
        <v>86.986783524964537</v>
      </c>
      <c r="J88" s="21">
        <f t="shared" si="100"/>
        <v>87.54356691036125</v>
      </c>
      <c r="K88" s="21">
        <f t="shared" ref="K88" si="101">K84*K87</f>
        <v>79.78626512360961</v>
      </c>
      <c r="L88" s="21">
        <f t="shared" ref="L88" si="102">L84*L87</f>
        <v>72.706604152533416</v>
      </c>
      <c r="M88" s="21">
        <f t="shared" ref="M88" si="103">M84*M87</f>
        <v>66.246362481564248</v>
      </c>
      <c r="N88" s="21">
        <f t="shared" ref="N88" si="104">N84*N87</f>
        <v>60.094592473100747</v>
      </c>
      <c r="O88" s="21">
        <f t="shared" ref="O88" si="105">O84*O87</f>
        <v>54.86352846319901</v>
      </c>
      <c r="P88" s="21">
        <f t="shared" ref="P88" si="106">P84*P87</f>
        <v>50.106529835155342</v>
      </c>
      <c r="Q88" s="21">
        <f t="shared" ref="Q88:S88" si="107">Q84*Q87</f>
        <v>45.777912203917516</v>
      </c>
      <c r="R88" s="21">
        <f t="shared" si="107"/>
        <v>42.099329973245567</v>
      </c>
      <c r="S88" s="21">
        <f t="shared" si="107"/>
        <v>377.06356410819939</v>
      </c>
    </row>
    <row r="90" spans="1:20" x14ac:dyDescent="0.25">
      <c r="A90" s="148" t="s">
        <v>306</v>
      </c>
      <c r="B90" s="148"/>
      <c r="C90" s="148"/>
      <c r="D90" s="170"/>
      <c r="E90" s="170"/>
      <c r="F90" s="169">
        <f>SUM(F88:S88)</f>
        <v>-390.59367947958373</v>
      </c>
    </row>
    <row r="91" spans="1:20" x14ac:dyDescent="0.25">
      <c r="A91" s="148" t="s">
        <v>207</v>
      </c>
      <c r="B91" s="148"/>
      <c r="C91" s="148"/>
      <c r="D91" s="170"/>
      <c r="E91" s="170"/>
      <c r="F91" s="137">
        <v>9.3915617591992503E-2</v>
      </c>
      <c r="G91" s="138"/>
    </row>
    <row r="93" spans="1:20" x14ac:dyDescent="0.25">
      <c r="A93" s="83" t="s">
        <v>208</v>
      </c>
      <c r="B93" s="84"/>
      <c r="C93" s="84"/>
      <c r="D93" s="84"/>
      <c r="E93" s="84"/>
      <c r="F93" s="87" t="s">
        <v>138</v>
      </c>
      <c r="G93" s="87" t="s">
        <v>196</v>
      </c>
      <c r="H93" s="87" t="s">
        <v>197</v>
      </c>
      <c r="I93" s="87" t="s">
        <v>198</v>
      </c>
      <c r="J93" s="87" t="s">
        <v>199</v>
      </c>
      <c r="K93" s="87" t="s">
        <v>201</v>
      </c>
      <c r="L93" s="87" t="s">
        <v>218</v>
      </c>
      <c r="M93" s="87" t="s">
        <v>219</v>
      </c>
      <c r="N93" s="87" t="s">
        <v>220</v>
      </c>
      <c r="O93" s="87" t="s">
        <v>221</v>
      </c>
      <c r="P93" s="87" t="s">
        <v>222</v>
      </c>
      <c r="Q93" s="87" t="s">
        <v>223</v>
      </c>
      <c r="R93" s="87" t="s">
        <v>314</v>
      </c>
      <c r="S93" s="87" t="s">
        <v>315</v>
      </c>
      <c r="T93" s="89" t="s">
        <v>318</v>
      </c>
    </row>
    <row r="94" spans="1:20" x14ac:dyDescent="0.25">
      <c r="A94" s="35" t="s">
        <v>294</v>
      </c>
      <c r="B94" s="33"/>
      <c r="C94" s="33"/>
      <c r="D94" s="33"/>
      <c r="F94" s="38"/>
      <c r="G94" s="88">
        <f t="shared" ref="G94:Q94" si="108">G59</f>
        <v>45</v>
      </c>
      <c r="H94" s="88">
        <f t="shared" si="108"/>
        <v>45</v>
      </c>
      <c r="I94" s="88">
        <f t="shared" si="108"/>
        <v>45</v>
      </c>
      <c r="J94" s="88">
        <f t="shared" si="108"/>
        <v>45</v>
      </c>
      <c r="K94" s="88">
        <f t="shared" si="108"/>
        <v>45</v>
      </c>
      <c r="L94" s="88">
        <f t="shared" si="108"/>
        <v>45</v>
      </c>
      <c r="M94" s="88">
        <f t="shared" si="108"/>
        <v>0</v>
      </c>
      <c r="N94" s="88">
        <f t="shared" si="108"/>
        <v>0</v>
      </c>
      <c r="O94" s="88">
        <f t="shared" si="108"/>
        <v>0</v>
      </c>
      <c r="P94" s="88">
        <f t="shared" si="108"/>
        <v>0</v>
      </c>
      <c r="Q94" s="88">
        <f t="shared" si="108"/>
        <v>0</v>
      </c>
      <c r="R94" s="88">
        <f t="shared" ref="R94:T94" si="109">R59</f>
        <v>0</v>
      </c>
      <c r="S94" s="88">
        <f t="shared" si="109"/>
        <v>0</v>
      </c>
      <c r="T94" s="88">
        <f t="shared" si="109"/>
        <v>0</v>
      </c>
    </row>
    <row r="95" spans="1:20" x14ac:dyDescent="0.25">
      <c r="A95" s="65" t="s">
        <v>295</v>
      </c>
      <c r="G95" s="22">
        <f t="shared" ref="G95:Q95" si="110">G64</f>
        <v>0</v>
      </c>
      <c r="H95" s="22">
        <f t="shared" si="110"/>
        <v>0</v>
      </c>
      <c r="I95" s="22">
        <f t="shared" si="110"/>
        <v>0</v>
      </c>
      <c r="J95" s="22">
        <f t="shared" si="110"/>
        <v>0</v>
      </c>
      <c r="K95" s="22">
        <f t="shared" si="110"/>
        <v>0</v>
      </c>
      <c r="L95" s="22">
        <f t="shared" si="110"/>
        <v>0</v>
      </c>
      <c r="M95" s="22">
        <f t="shared" si="110"/>
        <v>0</v>
      </c>
      <c r="N95" s="22">
        <f t="shared" si="110"/>
        <v>26.512204101027351</v>
      </c>
      <c r="O95" s="22">
        <f t="shared" si="110"/>
        <v>29.648537156281652</v>
      </c>
      <c r="P95" s="22">
        <f>P64</f>
        <v>32.765162494255783</v>
      </c>
      <c r="Q95" s="22">
        <f t="shared" si="110"/>
        <v>73.336546484468101</v>
      </c>
      <c r="R95" s="22">
        <f t="shared" ref="R95" si="111">R64</f>
        <v>75.81702749438675</v>
      </c>
      <c r="S95" s="22">
        <f>S64</f>
        <v>78.371922934602978</v>
      </c>
      <c r="T95" s="22">
        <f>T64</f>
        <v>688.69509909069427</v>
      </c>
    </row>
    <row r="96" spans="1:20" x14ac:dyDescent="0.25">
      <c r="A96" s="35" t="s">
        <v>303</v>
      </c>
      <c r="F96" s="79">
        <f>-B4</f>
        <v>-270</v>
      </c>
      <c r="R96" s="78"/>
    </row>
    <row r="97" spans="1:20" x14ac:dyDescent="0.25">
      <c r="A97" s="35" t="s">
        <v>345</v>
      </c>
      <c r="J97">
        <f>IF(I14&gt;=10%,-B9,0)</f>
        <v>0</v>
      </c>
      <c r="R97" s="78"/>
    </row>
    <row r="98" spans="1:20" s="109" customFormat="1" x14ac:dyDescent="0.25">
      <c r="A98" s="50" t="s">
        <v>307</v>
      </c>
      <c r="B98" s="51"/>
      <c r="C98" s="51"/>
      <c r="D98" s="93"/>
      <c r="E98" s="94"/>
      <c r="F98" s="95">
        <f>F94+F95+F96+F97</f>
        <v>-270</v>
      </c>
      <c r="G98" s="95">
        <f t="shared" ref="G98:R98" si="112">G94+G95+G96+G97</f>
        <v>45</v>
      </c>
      <c r="H98" s="95">
        <f t="shared" si="112"/>
        <v>45</v>
      </c>
      <c r="I98" s="95">
        <f t="shared" si="112"/>
        <v>45</v>
      </c>
      <c r="J98" s="95">
        <f t="shared" si="112"/>
        <v>45</v>
      </c>
      <c r="K98" s="95">
        <f t="shared" si="112"/>
        <v>45</v>
      </c>
      <c r="L98" s="95">
        <f t="shared" si="112"/>
        <v>45</v>
      </c>
      <c r="M98" s="95">
        <f t="shared" si="112"/>
        <v>0</v>
      </c>
      <c r="N98" s="95">
        <f t="shared" si="112"/>
        <v>26.512204101027351</v>
      </c>
      <c r="O98" s="95">
        <f t="shared" si="112"/>
        <v>29.648537156281652</v>
      </c>
      <c r="P98" s="95">
        <f t="shared" si="112"/>
        <v>32.765162494255783</v>
      </c>
      <c r="Q98" s="95">
        <f t="shared" si="112"/>
        <v>73.336546484468101</v>
      </c>
      <c r="R98" s="95">
        <f t="shared" si="112"/>
        <v>75.81702749438675</v>
      </c>
      <c r="S98" s="95">
        <f>S94+S95+S96+S97+T94+T95+T96+T97</f>
        <v>767.06702202529721</v>
      </c>
    </row>
    <row r="99" spans="1:20" x14ac:dyDescent="0.25">
      <c r="A99" s="35"/>
      <c r="G99" s="22"/>
      <c r="H99" s="22"/>
      <c r="I99" s="22"/>
      <c r="J99" s="22"/>
      <c r="K99" s="22"/>
      <c r="L99" s="22"/>
      <c r="M99" s="22"/>
      <c r="N99" s="22"/>
      <c r="O99" s="22"/>
      <c r="P99" s="22"/>
      <c r="Q99" s="22"/>
      <c r="R99" s="22"/>
      <c r="S99" s="22"/>
    </row>
    <row r="100" spans="1:20" x14ac:dyDescent="0.25">
      <c r="A100" s="35" t="s">
        <v>205</v>
      </c>
      <c r="F100" s="77">
        <v>0</v>
      </c>
      <c r="G100" s="77">
        <v>1</v>
      </c>
      <c r="H100" s="77">
        <v>2</v>
      </c>
      <c r="I100" s="77">
        <v>3</v>
      </c>
      <c r="J100" s="77">
        <v>4</v>
      </c>
      <c r="K100" s="77">
        <v>5</v>
      </c>
      <c r="L100" s="77">
        <v>6</v>
      </c>
      <c r="M100" s="77">
        <v>7</v>
      </c>
      <c r="N100" s="77">
        <v>8</v>
      </c>
      <c r="O100" s="77">
        <v>9</v>
      </c>
      <c r="P100" s="77">
        <v>10</v>
      </c>
      <c r="Q100" s="77">
        <v>11</v>
      </c>
      <c r="R100" s="77">
        <v>12</v>
      </c>
      <c r="S100" s="77">
        <v>13</v>
      </c>
    </row>
    <row r="101" spans="1:20" x14ac:dyDescent="0.25">
      <c r="A101" s="35" t="s">
        <v>204</v>
      </c>
      <c r="F101" s="67">
        <f t="shared" ref="F101:Q101" si="113">1/(1+$I$17)^F100</f>
        <v>1</v>
      </c>
      <c r="G101" s="67">
        <f t="shared" si="113"/>
        <v>0.89285714285714279</v>
      </c>
      <c r="H101" s="67">
        <f t="shared" si="113"/>
        <v>0.79719387755102034</v>
      </c>
      <c r="I101" s="67">
        <f t="shared" si="113"/>
        <v>0.71178024781341087</v>
      </c>
      <c r="J101" s="67">
        <f t="shared" si="113"/>
        <v>0.63551807840483121</v>
      </c>
      <c r="K101" s="67">
        <f t="shared" si="113"/>
        <v>0.56742685571859919</v>
      </c>
      <c r="L101" s="67">
        <f t="shared" si="113"/>
        <v>0.50663112117732068</v>
      </c>
      <c r="M101" s="67">
        <f t="shared" si="113"/>
        <v>0.45234921533689343</v>
      </c>
      <c r="N101" s="67">
        <f t="shared" si="113"/>
        <v>0.4038832279793691</v>
      </c>
      <c r="O101" s="67">
        <f t="shared" si="113"/>
        <v>0.36061002498157957</v>
      </c>
      <c r="P101" s="67">
        <f t="shared" si="113"/>
        <v>0.32197323659069599</v>
      </c>
      <c r="Q101" s="67">
        <f t="shared" si="113"/>
        <v>0.28747610409883567</v>
      </c>
      <c r="R101" s="67">
        <f t="shared" ref="R101" si="114">1/(1+$I$17)^R100</f>
        <v>0.25667509294538904</v>
      </c>
      <c r="S101" s="67">
        <f t="shared" ref="S101" si="115">1/(1+$I$17)^S100</f>
        <v>0.22917419012981158</v>
      </c>
    </row>
    <row r="102" spans="1:20" x14ac:dyDescent="0.25">
      <c r="A102" s="35" t="s">
        <v>206</v>
      </c>
      <c r="F102" s="22">
        <f>F98*F101</f>
        <v>-270</v>
      </c>
      <c r="G102" s="22">
        <f>G98*G101</f>
        <v>40.178571428571423</v>
      </c>
      <c r="H102" s="22">
        <f t="shared" ref="H102:P102" si="116">H98*H101</f>
        <v>35.873724489795919</v>
      </c>
      <c r="I102" s="22">
        <f t="shared" si="116"/>
        <v>32.030111151603492</v>
      </c>
      <c r="J102" s="22">
        <f t="shared" si="116"/>
        <v>28.598313528217403</v>
      </c>
      <c r="K102" s="22">
        <f t="shared" si="116"/>
        <v>25.534208507336963</v>
      </c>
      <c r="L102" s="22">
        <f t="shared" si="116"/>
        <v>22.798400452979429</v>
      </c>
      <c r="M102" s="22">
        <f t="shared" si="116"/>
        <v>0</v>
      </c>
      <c r="N102" s="22">
        <f t="shared" si="116"/>
        <v>10.707834573170794</v>
      </c>
      <c r="O102" s="22">
        <f t="shared" si="116"/>
        <v>10.691559724594017</v>
      </c>
      <c r="P102" s="22">
        <f t="shared" si="116"/>
        <v>10.549505415695617</v>
      </c>
      <c r="Q102" s="22">
        <f>Q98*Q101</f>
        <v>21.082504671418054</v>
      </c>
      <c r="R102" s="22">
        <f t="shared" ref="R102:S102" si="117">R98*R101</f>
        <v>19.460342578964834</v>
      </c>
      <c r="S102" s="22">
        <f t="shared" si="117"/>
        <v>175.79196354793382</v>
      </c>
    </row>
    <row r="104" spans="1:20" x14ac:dyDescent="0.25">
      <c r="A104" s="148" t="s">
        <v>200</v>
      </c>
      <c r="B104" s="148"/>
      <c r="C104" s="148"/>
      <c r="D104" s="170"/>
      <c r="E104" s="170"/>
      <c r="F104" s="171">
        <f>SUM(F102:S102)</f>
        <v>163.29704007028175</v>
      </c>
    </row>
    <row r="105" spans="1:20" x14ac:dyDescent="0.25">
      <c r="A105" s="148" t="s">
        <v>207</v>
      </c>
      <c r="B105" s="148"/>
      <c r="C105" s="148"/>
      <c r="D105" s="170"/>
      <c r="E105" s="170"/>
      <c r="F105" s="172">
        <v>0.17520720464388301</v>
      </c>
    </row>
    <row r="107" spans="1:20" x14ac:dyDescent="0.25">
      <c r="A107" s="83" t="s">
        <v>281</v>
      </c>
      <c r="B107" s="84"/>
      <c r="C107" s="84"/>
      <c r="D107" s="84"/>
      <c r="E107" s="84"/>
      <c r="F107" s="87" t="s">
        <v>138</v>
      </c>
      <c r="G107" s="87" t="s">
        <v>196</v>
      </c>
      <c r="H107" s="87" t="s">
        <v>197</v>
      </c>
      <c r="I107" s="87" t="s">
        <v>198</v>
      </c>
      <c r="J107" s="87" t="s">
        <v>199</v>
      </c>
      <c r="K107" s="87" t="s">
        <v>201</v>
      </c>
      <c r="L107" s="87" t="s">
        <v>218</v>
      </c>
      <c r="M107" s="87" t="s">
        <v>219</v>
      </c>
      <c r="N107" s="87" t="s">
        <v>220</v>
      </c>
      <c r="O107" s="87" t="s">
        <v>221</v>
      </c>
      <c r="P107" s="87" t="s">
        <v>222</v>
      </c>
      <c r="Q107" s="87" t="s">
        <v>223</v>
      </c>
      <c r="R107" s="87" t="s">
        <v>314</v>
      </c>
      <c r="S107" s="87" t="s">
        <v>315</v>
      </c>
      <c r="T107" s="89" t="s">
        <v>318</v>
      </c>
    </row>
    <row r="108" spans="1:20" x14ac:dyDescent="0.25">
      <c r="A108" s="35" t="s">
        <v>308</v>
      </c>
      <c r="F108" s="33">
        <f>-'Loan and interest'!B26</f>
        <v>-720</v>
      </c>
      <c r="R108" s="78"/>
    </row>
    <row r="109" spans="1:20" x14ac:dyDescent="0.25">
      <c r="A109" s="35" t="s">
        <v>270</v>
      </c>
      <c r="G109" s="38">
        <f>'Loan and interest'!C27</f>
        <v>38.072640186250055</v>
      </c>
      <c r="H109" s="38">
        <f>'Loan and interest'!D27</f>
        <v>43.350264623716242</v>
      </c>
      <c r="I109" s="38">
        <f>'Loan and interest'!E27</f>
        <v>54.859969472510244</v>
      </c>
      <c r="J109" s="38">
        <f>'Loan and interest'!F27</f>
        <v>72.321397976795481</v>
      </c>
      <c r="K109" s="38">
        <f>'Loan and interest'!G27</f>
        <v>77.711811303258159</v>
      </c>
      <c r="L109" s="38">
        <f>'Loan and interest'!H27</f>
        <v>83.331008563652262</v>
      </c>
      <c r="M109" s="38">
        <f>'Loan and interest'!I27</f>
        <v>134.18725007069423</v>
      </c>
      <c r="N109" s="38">
        <f>'Loan and interest'!J27</f>
        <v>72.165658803123222</v>
      </c>
      <c r="O109" s="38">
        <f>'Loan and interest'!K27</f>
        <v>71.999999000000003</v>
      </c>
      <c r="P109" s="38">
        <f>'Loan and interest'!L27</f>
        <v>72</v>
      </c>
      <c r="Q109" s="38">
        <f>'Loan and interest'!M27</f>
        <v>0</v>
      </c>
      <c r="R109" s="38">
        <f>'Loan and interest'!N27</f>
        <v>0</v>
      </c>
      <c r="S109" s="38">
        <f>'Loan and interest'!O27</f>
        <v>0</v>
      </c>
      <c r="T109" s="38">
        <f>'Loan and interest'!P27</f>
        <v>0</v>
      </c>
    </row>
    <row r="110" spans="1:20" x14ac:dyDescent="0.25">
      <c r="A110" s="35" t="s">
        <v>231</v>
      </c>
      <c r="G110" s="146">
        <f>'Loan and interest'!C29</f>
        <v>25.200000000000003</v>
      </c>
      <c r="H110" s="146">
        <f>'Loan and interest'!D29</f>
        <v>23.867457593481252</v>
      </c>
      <c r="I110" s="146">
        <f>'Loan and interest'!E29</f>
        <v>22.350198331651182</v>
      </c>
      <c r="J110" s="146">
        <f>'Loan and interest'!F29</f>
        <v>20.430099400113324</v>
      </c>
      <c r="K110" s="146">
        <f>'Loan and interest'!G29</f>
        <v>17.898850470925481</v>
      </c>
      <c r="L110" s="146">
        <f>'Loan and interest'!H29</f>
        <v>15.178937075311445</v>
      </c>
      <c r="M110" s="146">
        <f>'Loan and interest'!I29</f>
        <v>12.262351775583616</v>
      </c>
      <c r="N110" s="146">
        <f>'Loan and interest'!J29</f>
        <v>7.5657980231093171</v>
      </c>
      <c r="O110" s="146">
        <f>'Loan and interest'!K29</f>
        <v>5.0399999650000042</v>
      </c>
      <c r="P110" s="146">
        <f>'Loan and interest'!L29</f>
        <v>2.520000000000004</v>
      </c>
      <c r="Q110" s="146">
        <f>'Loan and interest'!M29</f>
        <v>0</v>
      </c>
      <c r="R110" s="146">
        <f>'Loan and interest'!N29</f>
        <v>0</v>
      </c>
      <c r="S110" s="146">
        <f>'Loan and interest'!O29</f>
        <v>0</v>
      </c>
      <c r="T110" s="146">
        <f>'Loan and interest'!P29</f>
        <v>0</v>
      </c>
    </row>
    <row r="111" spans="1:20" x14ac:dyDescent="0.25">
      <c r="A111" t="s">
        <v>310</v>
      </c>
      <c r="F111" s="33">
        <f>-B7</f>
        <v>-360</v>
      </c>
      <c r="G111" s="146"/>
      <c r="H111" s="146"/>
      <c r="I111" s="146"/>
      <c r="J111" s="146"/>
      <c r="K111" s="146"/>
      <c r="L111" s="146"/>
      <c r="M111" s="146"/>
      <c r="N111" s="146"/>
      <c r="O111" s="146"/>
      <c r="P111" s="146"/>
      <c r="Q111" s="146"/>
      <c r="R111" s="78"/>
    </row>
    <row r="112" spans="1:20" x14ac:dyDescent="0.25">
      <c r="A112" t="s">
        <v>309</v>
      </c>
      <c r="G112" s="146">
        <f t="shared" ref="G112:R112" si="118">G61</f>
        <v>0</v>
      </c>
      <c r="H112" s="146">
        <f t="shared" si="118"/>
        <v>0</v>
      </c>
      <c r="I112" s="146">
        <f t="shared" si="118"/>
        <v>0</v>
      </c>
      <c r="J112" s="146">
        <f t="shared" si="118"/>
        <v>0</v>
      </c>
      <c r="K112" s="146">
        <f t="shared" si="118"/>
        <v>-9.9999998326438799E-7</v>
      </c>
      <c r="L112" s="146">
        <f t="shared" si="118"/>
        <v>-9.9999994063182385E-7</v>
      </c>
      <c r="M112" s="146">
        <f t="shared" si="118"/>
        <v>0</v>
      </c>
      <c r="N112" s="146">
        <f t="shared" si="118"/>
        <v>18</v>
      </c>
      <c r="O112" s="146">
        <f t="shared" si="118"/>
        <v>18</v>
      </c>
      <c r="P112" s="146">
        <f t="shared" si="118"/>
        <v>18</v>
      </c>
      <c r="Q112" s="146">
        <f t="shared" si="118"/>
        <v>18</v>
      </c>
      <c r="R112" s="146">
        <f t="shared" si="118"/>
        <v>18</v>
      </c>
      <c r="S112" s="146">
        <f t="shared" ref="S112:T112" si="119">S61</f>
        <v>18</v>
      </c>
      <c r="T112" s="146">
        <f t="shared" si="119"/>
        <v>150</v>
      </c>
    </row>
    <row r="113" spans="1:20" x14ac:dyDescent="0.25">
      <c r="A113" t="s">
        <v>338</v>
      </c>
      <c r="B113" s="11"/>
      <c r="F113" s="33">
        <f>-B8</f>
        <v>-250</v>
      </c>
      <c r="G113" s="22"/>
      <c r="H113" s="22"/>
      <c r="I113" s="22"/>
      <c r="J113" s="22"/>
      <c r="K113" s="22"/>
      <c r="L113" s="22"/>
      <c r="M113" s="22"/>
      <c r="N113" s="22"/>
      <c r="O113" s="22"/>
      <c r="P113" s="22"/>
      <c r="Q113" s="22"/>
      <c r="R113" s="22"/>
      <c r="S113" s="67"/>
    </row>
    <row r="114" spans="1:20" x14ac:dyDescent="0.25">
      <c r="A114" t="s">
        <v>311</v>
      </c>
      <c r="B114" s="11"/>
      <c r="G114" s="22">
        <f>G65</f>
        <v>0</v>
      </c>
      <c r="H114" s="22">
        <f t="shared" ref="H114:R114" si="120">H65</f>
        <v>0</v>
      </c>
      <c r="I114" s="22">
        <f t="shared" si="120"/>
        <v>0</v>
      </c>
      <c r="J114" s="22">
        <f t="shared" si="120"/>
        <v>0</v>
      </c>
      <c r="K114" s="22">
        <f t="shared" si="120"/>
        <v>0</v>
      </c>
      <c r="L114" s="22">
        <f t="shared" si="120"/>
        <v>0</v>
      </c>
      <c r="M114" s="22">
        <f t="shared" si="120"/>
        <v>0</v>
      </c>
      <c r="N114" s="22">
        <f t="shared" si="120"/>
        <v>24.548337130580876</v>
      </c>
      <c r="O114" s="22">
        <f t="shared" si="120"/>
        <v>27.4523492187793</v>
      </c>
      <c r="P114" s="22">
        <f t="shared" si="120"/>
        <v>30.338113420607208</v>
      </c>
      <c r="Q114" s="22">
        <f t="shared" si="120"/>
        <v>67.904209707840835</v>
      </c>
      <c r="R114" s="22">
        <f t="shared" si="120"/>
        <v>70.200951383691418</v>
      </c>
      <c r="S114" s="22">
        <f t="shared" ref="S114:T114" si="121">S65</f>
        <v>72.566595309817572</v>
      </c>
      <c r="T114" s="197">
        <f t="shared" si="121"/>
        <v>637.68064730619824</v>
      </c>
    </row>
    <row r="115" spans="1:20" x14ac:dyDescent="0.25">
      <c r="A115" s="35" t="s">
        <v>345</v>
      </c>
      <c r="B115" s="11"/>
      <c r="G115" s="22"/>
      <c r="H115" s="22"/>
      <c r="I115" s="22"/>
      <c r="J115" s="22">
        <f>IF(I14&gt;=10%,-B10,0)</f>
        <v>0</v>
      </c>
      <c r="K115" s="22"/>
      <c r="L115" s="22"/>
      <c r="M115" s="22"/>
      <c r="N115" s="22"/>
      <c r="O115" s="22"/>
      <c r="P115" s="22"/>
      <c r="Q115" s="22"/>
      <c r="R115" s="22"/>
      <c r="S115" s="197"/>
      <c r="T115" s="197"/>
    </row>
    <row r="116" spans="1:20" x14ac:dyDescent="0.25">
      <c r="A116" s="50" t="s">
        <v>282</v>
      </c>
      <c r="B116" s="51"/>
      <c r="C116" s="51"/>
      <c r="D116" s="93"/>
      <c r="E116" s="94"/>
      <c r="F116" s="173">
        <f>SUM(F108:F115)</f>
        <v>-1330</v>
      </c>
      <c r="G116" s="173">
        <f t="shared" ref="G116:Q116" si="122">SUM(G108:G115)</f>
        <v>63.272640186250058</v>
      </c>
      <c r="H116" s="173">
        <f t="shared" si="122"/>
        <v>67.21772221719749</v>
      </c>
      <c r="I116" s="173">
        <f t="shared" si="122"/>
        <v>77.210167804161429</v>
      </c>
      <c r="J116" s="173">
        <f t="shared" si="122"/>
        <v>92.751497376908802</v>
      </c>
      <c r="K116" s="173">
        <f t="shared" si="122"/>
        <v>95.610660774183657</v>
      </c>
      <c r="L116" s="173">
        <f t="shared" si="122"/>
        <v>98.509944638963759</v>
      </c>
      <c r="M116" s="173">
        <f t="shared" si="122"/>
        <v>146.44960184627786</v>
      </c>
      <c r="N116" s="173">
        <f t="shared" si="122"/>
        <v>122.27979395681342</v>
      </c>
      <c r="O116" s="173">
        <f t="shared" si="122"/>
        <v>122.49234818377931</v>
      </c>
      <c r="P116" s="173">
        <f t="shared" si="122"/>
        <v>122.85811342060722</v>
      </c>
      <c r="Q116" s="173">
        <f t="shared" si="122"/>
        <v>85.904209707840835</v>
      </c>
      <c r="R116" s="173">
        <f>SUM(R108:R115)</f>
        <v>88.200951383691418</v>
      </c>
      <c r="S116" s="173">
        <f>SUM(S108:S115)+SUM(T108:T115)</f>
        <v>878.2472426160158</v>
      </c>
      <c r="T116" s="51"/>
    </row>
    <row r="118" spans="1:20" x14ac:dyDescent="0.25">
      <c r="A118" s="35" t="s">
        <v>205</v>
      </c>
      <c r="F118" s="77">
        <v>0</v>
      </c>
      <c r="G118" s="77">
        <v>1</v>
      </c>
      <c r="H118" s="77">
        <v>2</v>
      </c>
      <c r="I118" s="77">
        <v>3</v>
      </c>
      <c r="J118" s="77">
        <v>4</v>
      </c>
      <c r="K118" s="77">
        <v>5</v>
      </c>
      <c r="L118" s="77">
        <v>6</v>
      </c>
      <c r="M118" s="77">
        <v>7</v>
      </c>
      <c r="N118" s="77">
        <v>8</v>
      </c>
      <c r="O118" s="77">
        <v>9</v>
      </c>
      <c r="P118" s="77">
        <v>10</v>
      </c>
      <c r="Q118" s="77">
        <v>11</v>
      </c>
      <c r="R118" s="77">
        <v>12</v>
      </c>
      <c r="S118" s="77">
        <v>13</v>
      </c>
    </row>
    <row r="119" spans="1:20" x14ac:dyDescent="0.25">
      <c r="A119" s="35" t="s">
        <v>204</v>
      </c>
      <c r="F119" s="67">
        <f t="shared" ref="F119:Q119" si="123">1/(1+$I$17)^F118</f>
        <v>1</v>
      </c>
      <c r="G119" s="67">
        <f t="shared" si="123"/>
        <v>0.89285714285714279</v>
      </c>
      <c r="H119" s="67">
        <f t="shared" si="123"/>
        <v>0.79719387755102034</v>
      </c>
      <c r="I119" s="67">
        <f t="shared" si="123"/>
        <v>0.71178024781341087</v>
      </c>
      <c r="J119" s="67">
        <f t="shared" si="123"/>
        <v>0.63551807840483121</v>
      </c>
      <c r="K119" s="67">
        <f t="shared" si="123"/>
        <v>0.56742685571859919</v>
      </c>
      <c r="L119" s="67">
        <f t="shared" si="123"/>
        <v>0.50663112117732068</v>
      </c>
      <c r="M119" s="67">
        <f t="shared" si="123"/>
        <v>0.45234921533689343</v>
      </c>
      <c r="N119" s="67">
        <f t="shared" si="123"/>
        <v>0.4038832279793691</v>
      </c>
      <c r="O119" s="67">
        <f t="shared" si="123"/>
        <v>0.36061002498157957</v>
      </c>
      <c r="P119" s="67">
        <f t="shared" si="123"/>
        <v>0.32197323659069599</v>
      </c>
      <c r="Q119" s="67">
        <f t="shared" si="123"/>
        <v>0.28747610409883567</v>
      </c>
      <c r="R119" s="67">
        <f t="shared" ref="R119" si="124">1/(1+$I$17)^R118</f>
        <v>0.25667509294538904</v>
      </c>
      <c r="S119" s="67">
        <f t="shared" ref="S119" si="125">1/(1+$I$17)^S118</f>
        <v>0.22917419012981158</v>
      </c>
    </row>
    <row r="120" spans="1:20" x14ac:dyDescent="0.25">
      <c r="A120" s="35" t="s">
        <v>206</v>
      </c>
      <c r="F120" s="22">
        <f>F116*F119</f>
        <v>-1330</v>
      </c>
      <c r="G120" s="22">
        <f>G116*G119</f>
        <v>56.493428737723264</v>
      </c>
      <c r="H120" s="22">
        <f t="shared" ref="H120" si="126">H116*H119</f>
        <v>53.585556614475038</v>
      </c>
      <c r="I120" s="22">
        <f t="shared" ref="I120" si="127">I116*I119</f>
        <v>54.956672373361059</v>
      </c>
      <c r="J120" s="22">
        <f t="shared" ref="J120" si="128">J116*J119</f>
        <v>58.945253382143825</v>
      </c>
      <c r="K120" s="22">
        <f t="shared" ref="K120" si="129">K116*K119</f>
        <v>54.25205661627264</v>
      </c>
      <c r="L120" s="22">
        <f t="shared" ref="L120" si="130">L116*L119</f>
        <v>49.908203699554001</v>
      </c>
      <c r="M120" s="22">
        <f t="shared" ref="M120" si="131">M116*M119</f>
        <v>66.246362481564248</v>
      </c>
      <c r="N120" s="22">
        <f t="shared" ref="N120" si="132">N116*N119</f>
        <v>49.386757899929954</v>
      </c>
      <c r="O120" s="22">
        <f t="shared" ref="O120" si="133">O116*O119</f>
        <v>44.171968738605003</v>
      </c>
      <c r="P120" s="22">
        <f t="shared" ref="P120" si="134">P116*P119</f>
        <v>39.557024419459729</v>
      </c>
      <c r="Q120" s="22">
        <f t="shared" ref="Q120:S120" si="135">Q116*Q119</f>
        <v>24.695407532499463</v>
      </c>
      <c r="R120" s="22">
        <f t="shared" si="135"/>
        <v>22.638987394280736</v>
      </c>
      <c r="S120" s="22">
        <f t="shared" si="135"/>
        <v>201.27160056026557</v>
      </c>
    </row>
    <row r="122" spans="1:20" x14ac:dyDescent="0.25">
      <c r="A122" s="148" t="s">
        <v>200</v>
      </c>
      <c r="B122" s="148"/>
      <c r="C122" s="148"/>
      <c r="D122" s="170"/>
      <c r="E122" s="170"/>
      <c r="F122" s="223">
        <f>SUM(F120:S120)</f>
        <v>-553.89071954986548</v>
      </c>
    </row>
    <row r="123" spans="1:20" x14ac:dyDescent="0.25">
      <c r="A123" s="148" t="s">
        <v>207</v>
      </c>
      <c r="B123" s="148"/>
      <c r="C123" s="148"/>
      <c r="D123" s="170"/>
      <c r="E123" s="170"/>
      <c r="F123" s="172">
        <v>7.2039690989046501E-2</v>
      </c>
    </row>
  </sheetData>
  <mergeCells count="4">
    <mergeCell ref="F2:J2"/>
    <mergeCell ref="G67:P67"/>
    <mergeCell ref="Q67:S67"/>
    <mergeCell ref="D9:F10"/>
  </mergeCells>
  <phoneticPr fontId="11"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51"/>
  <sheetViews>
    <sheetView tabSelected="1" zoomScale="93" zoomScaleNormal="93" workbookViewId="0">
      <selection activeCell="H18" sqref="H18"/>
    </sheetView>
  </sheetViews>
  <sheetFormatPr defaultColWidth="11" defaultRowHeight="15.75" x14ac:dyDescent="0.25"/>
  <cols>
    <col min="1" max="1" width="34.375" customWidth="1"/>
    <col min="2" max="4" width="9.875" customWidth="1"/>
    <col min="5" max="5" width="11" customWidth="1"/>
  </cols>
  <sheetData>
    <row r="1" spans="1:24" x14ac:dyDescent="0.25">
      <c r="A1" s="126" t="s">
        <v>272</v>
      </c>
      <c r="B1" s="35"/>
    </row>
    <row r="2" spans="1:24" x14ac:dyDescent="0.25">
      <c r="A2" s="80" t="s">
        <v>230</v>
      </c>
      <c r="B2" s="129">
        <v>270</v>
      </c>
    </row>
    <row r="3" spans="1:24" x14ac:dyDescent="0.25">
      <c r="A3" s="80" t="s">
        <v>284</v>
      </c>
      <c r="B3" s="129">
        <v>45</v>
      </c>
    </row>
    <row r="4" spans="1:24" x14ac:dyDescent="0.25">
      <c r="A4" s="80" t="s">
        <v>283</v>
      </c>
      <c r="B4" s="129">
        <v>720</v>
      </c>
    </row>
    <row r="5" spans="1:24" x14ac:dyDescent="0.25">
      <c r="A5" s="80" t="s">
        <v>280</v>
      </c>
      <c r="B5" s="129">
        <v>360</v>
      </c>
    </row>
    <row r="6" spans="1:24" ht="18.75" x14ac:dyDescent="0.3">
      <c r="A6" s="80" t="s">
        <v>334</v>
      </c>
      <c r="B6" s="129">
        <v>250</v>
      </c>
      <c r="I6" s="216"/>
    </row>
    <row r="7" spans="1:24" ht="18.75" x14ac:dyDescent="0.3">
      <c r="A7" s="80" t="s">
        <v>347</v>
      </c>
      <c r="B7" s="129">
        <v>50</v>
      </c>
      <c r="I7" s="228" t="s">
        <v>321</v>
      </c>
      <c r="J7" s="148"/>
      <c r="K7" s="148"/>
      <c r="L7" s="148"/>
      <c r="M7" s="148"/>
      <c r="N7" s="148"/>
      <c r="O7" s="148"/>
      <c r="P7" s="148"/>
      <c r="Q7" s="148"/>
      <c r="R7" s="148"/>
      <c r="S7" s="148"/>
      <c r="T7" s="148"/>
      <c r="U7" s="148"/>
      <c r="V7" s="148"/>
      <c r="W7" s="148"/>
      <c r="X7" s="148"/>
    </row>
    <row r="8" spans="1:24" x14ac:dyDescent="0.25">
      <c r="A8" s="80" t="s">
        <v>348</v>
      </c>
      <c r="B8" s="129">
        <v>200</v>
      </c>
    </row>
    <row r="9" spans="1:24" x14ac:dyDescent="0.25">
      <c r="A9" s="80" t="s">
        <v>335</v>
      </c>
      <c r="B9" s="129"/>
      <c r="I9" s="89" t="s">
        <v>322</v>
      </c>
      <c r="J9" s="5"/>
      <c r="K9" s="5"/>
      <c r="L9" s="5"/>
      <c r="M9" s="5"/>
      <c r="N9" s="5"/>
      <c r="O9" s="5"/>
      <c r="P9" s="5"/>
      <c r="Q9" s="5"/>
      <c r="R9" s="5"/>
      <c r="S9" s="5"/>
      <c r="T9" s="5"/>
      <c r="U9" s="5"/>
      <c r="V9" s="5"/>
      <c r="W9" s="5"/>
      <c r="X9" s="5"/>
    </row>
    <row r="10" spans="1:24" x14ac:dyDescent="0.25">
      <c r="L10" s="239" t="s">
        <v>319</v>
      </c>
      <c r="M10" s="239"/>
      <c r="N10" s="239"/>
      <c r="O10" s="239"/>
      <c r="P10" s="239"/>
      <c r="Q10" s="239"/>
      <c r="R10" s="239"/>
      <c r="S10" s="239"/>
      <c r="T10" s="239"/>
      <c r="U10" s="243"/>
      <c r="V10" s="240" t="s">
        <v>325</v>
      </c>
      <c r="W10" s="241"/>
      <c r="X10" s="241"/>
    </row>
    <row r="11" spans="1:24" x14ac:dyDescent="0.25">
      <c r="A11" s="126" t="s">
        <v>235</v>
      </c>
      <c r="B11" s="127"/>
      <c r="C11" s="80"/>
      <c r="D11" s="80"/>
      <c r="E11" s="80"/>
      <c r="K11" s="46" t="s">
        <v>191</v>
      </c>
      <c r="L11" s="205" t="s">
        <v>192</v>
      </c>
      <c r="M11" s="205" t="s">
        <v>193</v>
      </c>
      <c r="N11" s="205" t="s">
        <v>194</v>
      </c>
      <c r="O11" s="205" t="s">
        <v>211</v>
      </c>
      <c r="P11" s="205" t="s">
        <v>212</v>
      </c>
      <c r="Q11" s="205" t="s">
        <v>213</v>
      </c>
      <c r="R11" s="205" t="s">
        <v>214</v>
      </c>
      <c r="S11" s="205" t="s">
        <v>215</v>
      </c>
      <c r="T11" s="205" t="s">
        <v>216</v>
      </c>
      <c r="U11" s="206" t="s">
        <v>217</v>
      </c>
      <c r="V11" s="207" t="s">
        <v>247</v>
      </c>
      <c r="W11" s="207" t="s">
        <v>313</v>
      </c>
      <c r="X11" s="207" t="s">
        <v>317</v>
      </c>
    </row>
    <row r="12" spans="1:24" x14ac:dyDescent="0.25">
      <c r="A12" s="80" t="s">
        <v>88</v>
      </c>
      <c r="B12" s="128">
        <f>'Deal Evaluation'!G32</f>
        <v>0.56000000000000005</v>
      </c>
      <c r="C12" s="80"/>
      <c r="D12" s="80"/>
      <c r="E12" s="80"/>
      <c r="I12" t="s">
        <v>165</v>
      </c>
      <c r="K12" s="146">
        <v>720</v>
      </c>
      <c r="L12" s="146">
        <v>681.92735981374994</v>
      </c>
      <c r="M12" s="146">
        <v>638.57709519003367</v>
      </c>
      <c r="N12" s="146">
        <v>583.71712571752346</v>
      </c>
      <c r="O12" s="146">
        <v>511.39572774072798</v>
      </c>
      <c r="P12" s="146">
        <v>433.6839164374698</v>
      </c>
      <c r="Q12" s="146">
        <v>350.35290787381757</v>
      </c>
      <c r="R12" s="146">
        <v>216.16565780312334</v>
      </c>
      <c r="S12" s="146">
        <v>143.99999900000012</v>
      </c>
      <c r="T12" s="146">
        <v>72.000000000000114</v>
      </c>
      <c r="U12" s="208">
        <v>1.1368683772161603E-13</v>
      </c>
      <c r="V12" s="202">
        <v>1.1368683772161603E-13</v>
      </c>
      <c r="W12" s="203">
        <v>1.1368683772161603E-13</v>
      </c>
      <c r="X12" s="203">
        <v>1.1368683772161603E-13</v>
      </c>
    </row>
    <row r="13" spans="1:24" x14ac:dyDescent="0.25">
      <c r="A13" s="80" t="s">
        <v>203</v>
      </c>
      <c r="B13" s="80">
        <f>'Deal Evaluation'!G34</f>
        <v>1.25</v>
      </c>
      <c r="C13" s="80"/>
      <c r="D13" s="80"/>
      <c r="E13" s="80"/>
      <c r="I13" t="s">
        <v>285</v>
      </c>
      <c r="K13" s="146"/>
      <c r="L13" s="146">
        <v>38.072640186250055</v>
      </c>
      <c r="M13" s="146">
        <v>43.350264623716242</v>
      </c>
      <c r="N13" s="146">
        <v>54.859969472510244</v>
      </c>
      <c r="O13" s="146">
        <v>72.321397976795481</v>
      </c>
      <c r="P13" s="146">
        <v>77.711811303258159</v>
      </c>
      <c r="Q13" s="146">
        <v>83.331008563652262</v>
      </c>
      <c r="R13" s="146">
        <v>134.18725007069423</v>
      </c>
      <c r="S13" s="146">
        <v>72.165658803123222</v>
      </c>
      <c r="T13" s="146">
        <v>71.999999000000003</v>
      </c>
      <c r="U13" s="204">
        <v>72</v>
      </c>
      <c r="V13" s="203">
        <v>0</v>
      </c>
      <c r="W13" s="203">
        <v>0</v>
      </c>
      <c r="X13" s="203">
        <v>0</v>
      </c>
    </row>
    <row r="14" spans="1:24" x14ac:dyDescent="0.25">
      <c r="A14" s="80" t="s">
        <v>90</v>
      </c>
      <c r="B14" s="128">
        <f>'Deal Evaluation'!F51</f>
        <v>0.15</v>
      </c>
      <c r="C14" s="80"/>
      <c r="D14" s="80"/>
      <c r="E14" s="80"/>
    </row>
    <row r="15" spans="1:24" ht="17.100000000000001" customHeight="1" x14ac:dyDescent="0.25">
      <c r="A15" s="80" t="s">
        <v>137</v>
      </c>
      <c r="B15" s="128">
        <f>'Deal Evaluation'!G40</f>
        <v>0.3</v>
      </c>
      <c r="C15" s="80"/>
      <c r="D15" s="80"/>
      <c r="E15" s="80"/>
      <c r="I15" s="89" t="s">
        <v>323</v>
      </c>
      <c r="J15" s="5"/>
      <c r="K15" s="5"/>
      <c r="L15" s="139"/>
      <c r="M15" s="139"/>
      <c r="N15" s="139"/>
      <c r="O15" s="139"/>
      <c r="P15" s="139"/>
      <c r="Q15" s="139"/>
      <c r="R15" s="139"/>
      <c r="S15" s="139"/>
      <c r="T15" s="139"/>
      <c r="U15" s="139"/>
      <c r="V15" s="212"/>
      <c r="W15" s="212"/>
      <c r="X15" s="212"/>
    </row>
    <row r="16" spans="1:24" ht="17.100000000000001" customHeight="1" x14ac:dyDescent="0.25">
      <c r="A16" s="80" t="s">
        <v>237</v>
      </c>
      <c r="B16" s="128">
        <f>'Deal Evaluation'!G44</f>
        <v>1</v>
      </c>
      <c r="C16" s="80"/>
      <c r="D16" s="80"/>
      <c r="E16" s="80"/>
      <c r="L16" s="239" t="s">
        <v>319</v>
      </c>
      <c r="M16" s="239"/>
      <c r="N16" s="239"/>
      <c r="O16" s="239"/>
      <c r="P16" s="239"/>
      <c r="Q16" s="239"/>
      <c r="R16" s="239"/>
      <c r="S16" s="239"/>
      <c r="T16" s="239"/>
      <c r="U16" s="239"/>
      <c r="V16" s="240" t="s">
        <v>325</v>
      </c>
      <c r="W16" s="241"/>
      <c r="X16" s="241"/>
    </row>
    <row r="17" spans="1:24" x14ac:dyDescent="0.25">
      <c r="A17" s="80" t="s">
        <v>239</v>
      </c>
      <c r="B17" s="128">
        <f>'Deal Evaluation'!G46</f>
        <v>0.15</v>
      </c>
      <c r="C17" s="80"/>
      <c r="D17" s="80"/>
      <c r="E17" s="80"/>
      <c r="K17" s="46" t="s">
        <v>191</v>
      </c>
      <c r="L17" s="205" t="s">
        <v>192</v>
      </c>
      <c r="M17" s="205" t="s">
        <v>193</v>
      </c>
      <c r="N17" s="205" t="s">
        <v>194</v>
      </c>
      <c r="O17" s="205" t="s">
        <v>211</v>
      </c>
      <c r="P17" s="205" t="s">
        <v>212</v>
      </c>
      <c r="Q17" s="205" t="s">
        <v>213</v>
      </c>
      <c r="R17" s="205" t="s">
        <v>214</v>
      </c>
      <c r="S17" s="205" t="s">
        <v>215</v>
      </c>
      <c r="T17" s="205" t="s">
        <v>216</v>
      </c>
      <c r="U17" s="206" t="s">
        <v>217</v>
      </c>
      <c r="V17" s="207" t="s">
        <v>247</v>
      </c>
      <c r="W17" s="207" t="s">
        <v>313</v>
      </c>
      <c r="X17" s="207" t="s">
        <v>317</v>
      </c>
    </row>
    <row r="18" spans="1:24" x14ac:dyDescent="0.25">
      <c r="A18" s="80" t="s">
        <v>94</v>
      </c>
      <c r="B18" s="129">
        <f>'Deal Evaluation'!G50</f>
        <v>0</v>
      </c>
      <c r="C18" s="80"/>
      <c r="D18" s="80"/>
      <c r="E18" s="80"/>
      <c r="I18" t="s">
        <v>165</v>
      </c>
      <c r="K18" s="146">
        <v>720</v>
      </c>
      <c r="L18" s="146">
        <v>665.27463987500005</v>
      </c>
      <c r="M18" s="146">
        <v>594.9652839878969</v>
      </c>
      <c r="N18" s="146">
        <v>503.99999800000023</v>
      </c>
      <c r="O18" s="146">
        <v>431.99999700000023</v>
      </c>
      <c r="P18" s="146">
        <v>359.99999600000024</v>
      </c>
      <c r="Q18" s="146">
        <v>287.99999600000012</v>
      </c>
      <c r="R18" s="146">
        <v>215.99999700000012</v>
      </c>
      <c r="S18" s="146">
        <v>143.99999800000012</v>
      </c>
      <c r="T18" s="146">
        <v>71.999999000000116</v>
      </c>
      <c r="U18" s="208">
        <v>1.1368683772161603E-13</v>
      </c>
      <c r="V18" s="202">
        <v>1.1368683772161603E-13</v>
      </c>
      <c r="W18" s="203">
        <v>1.1368683772161603E-13</v>
      </c>
      <c r="X18" s="203">
        <v>1.1368683772161603E-13</v>
      </c>
    </row>
    <row r="19" spans="1:24" x14ac:dyDescent="0.25">
      <c r="A19" s="80" t="s">
        <v>277</v>
      </c>
      <c r="B19" s="134">
        <f>'Loan and interest'!B6</f>
        <v>3.5000000000000003E-2</v>
      </c>
      <c r="C19" s="80"/>
      <c r="D19" s="80"/>
      <c r="E19" s="80"/>
      <c r="I19" t="s">
        <v>285</v>
      </c>
      <c r="K19" s="146"/>
      <c r="L19" s="146">
        <v>54.725360125000009</v>
      </c>
      <c r="M19" s="146">
        <v>70.30935588710318</v>
      </c>
      <c r="N19" s="146">
        <v>90.965285987896692</v>
      </c>
      <c r="O19" s="146">
        <v>72.000000999999997</v>
      </c>
      <c r="P19" s="146">
        <v>72.000000999999997</v>
      </c>
      <c r="Q19" s="146">
        <v>72.000000000000085</v>
      </c>
      <c r="R19" s="146">
        <v>71.999999000000003</v>
      </c>
      <c r="S19" s="146">
        <v>71.999999000000003</v>
      </c>
      <c r="T19" s="146">
        <v>71.999999000000003</v>
      </c>
      <c r="U19" s="204">
        <v>71.999999000000003</v>
      </c>
      <c r="V19" s="203">
        <v>0</v>
      </c>
      <c r="W19" s="203">
        <v>0</v>
      </c>
      <c r="X19" s="203">
        <v>0</v>
      </c>
    </row>
    <row r="20" spans="1:24" ht="15" customHeight="1" x14ac:dyDescent="0.25">
      <c r="A20" s="80" t="s">
        <v>241</v>
      </c>
      <c r="B20" s="130">
        <v>0</v>
      </c>
      <c r="C20" s="80"/>
      <c r="D20" s="80"/>
      <c r="E20" s="80"/>
    </row>
    <row r="21" spans="1:24" x14ac:dyDescent="0.25">
      <c r="A21" s="80"/>
      <c r="B21" s="80"/>
      <c r="C21" s="80"/>
      <c r="D21" s="80"/>
      <c r="E21" s="80"/>
      <c r="I21" s="89" t="s">
        <v>324</v>
      </c>
      <c r="J21" s="5"/>
      <c r="K21" s="5"/>
      <c r="L21" s="139"/>
      <c r="M21" s="139"/>
      <c r="N21" s="139"/>
      <c r="O21" s="139"/>
      <c r="P21" s="139"/>
      <c r="Q21" s="139"/>
      <c r="R21" s="139"/>
      <c r="S21" s="139"/>
      <c r="T21" s="139"/>
      <c r="U21" s="139"/>
      <c r="V21" s="212"/>
      <c r="W21" s="212"/>
      <c r="X21" s="212"/>
    </row>
    <row r="22" spans="1:24" ht="26.25" x14ac:dyDescent="0.25">
      <c r="A22" s="131" t="s">
        <v>240</v>
      </c>
      <c r="B22" s="132" t="s">
        <v>249</v>
      </c>
      <c r="C22" s="131" t="s">
        <v>250</v>
      </c>
      <c r="D22" s="131" t="s">
        <v>251</v>
      </c>
      <c r="E22" s="133" t="s">
        <v>253</v>
      </c>
      <c r="L22" s="239" t="s">
        <v>319</v>
      </c>
      <c r="M22" s="239"/>
      <c r="N22" s="239"/>
      <c r="O22" s="239"/>
      <c r="P22" s="239"/>
      <c r="Q22" s="239"/>
      <c r="R22" s="239"/>
      <c r="S22" s="239"/>
      <c r="T22" s="239"/>
      <c r="U22" s="239"/>
      <c r="V22" s="240" t="s">
        <v>325</v>
      </c>
      <c r="W22" s="241"/>
      <c r="X22" s="241"/>
    </row>
    <row r="23" spans="1:24" x14ac:dyDescent="0.25">
      <c r="A23" s="242" t="s">
        <v>246</v>
      </c>
      <c r="B23" s="242"/>
      <c r="C23" s="242"/>
      <c r="D23" s="242"/>
      <c r="E23" s="242"/>
      <c r="K23" s="46" t="s">
        <v>191</v>
      </c>
      <c r="L23" s="205" t="s">
        <v>192</v>
      </c>
      <c r="M23" s="205" t="s">
        <v>193</v>
      </c>
      <c r="N23" s="205" t="s">
        <v>194</v>
      </c>
      <c r="O23" s="205" t="s">
        <v>211</v>
      </c>
      <c r="P23" s="205" t="s">
        <v>212</v>
      </c>
      <c r="Q23" s="205" t="s">
        <v>213</v>
      </c>
      <c r="R23" s="205" t="s">
        <v>214</v>
      </c>
      <c r="S23" s="205" t="s">
        <v>215</v>
      </c>
      <c r="T23" s="205" t="s">
        <v>216</v>
      </c>
      <c r="U23" s="210" t="s">
        <v>217</v>
      </c>
      <c r="V23" s="211" t="s">
        <v>247</v>
      </c>
      <c r="W23" s="207" t="s">
        <v>313</v>
      </c>
      <c r="X23" s="207" t="s">
        <v>317</v>
      </c>
    </row>
    <row r="24" spans="1:24" x14ac:dyDescent="0.25">
      <c r="A24" s="80" t="s">
        <v>242</v>
      </c>
      <c r="B24" s="128">
        <v>0.03</v>
      </c>
      <c r="C24" s="128">
        <v>0.1</v>
      </c>
      <c r="D24" s="128">
        <v>0</v>
      </c>
      <c r="E24" s="128">
        <v>0.03</v>
      </c>
      <c r="I24" t="s">
        <v>165</v>
      </c>
      <c r="K24" s="146">
        <v>720</v>
      </c>
      <c r="L24" s="146">
        <v>688.72917500000005</v>
      </c>
      <c r="M24" s="146">
        <v>655.87707569437509</v>
      </c>
      <c r="N24" s="146">
        <v>615.39523923321042</v>
      </c>
      <c r="O24" s="146">
        <v>561.522582590242</v>
      </c>
      <c r="P24" s="146">
        <v>506.52802787268377</v>
      </c>
      <c r="Q24" s="146">
        <v>450.38821155313235</v>
      </c>
      <c r="R24" s="146">
        <v>348.07928355872633</v>
      </c>
      <c r="S24" s="146">
        <v>243.6397721388368</v>
      </c>
      <c r="T24" s="146">
        <v>137.02530789362811</v>
      </c>
      <c r="U24" s="146">
        <v>28.190597430512881</v>
      </c>
      <c r="V24" s="209">
        <v>7.1054273576010019E-14</v>
      </c>
      <c r="W24" s="203">
        <v>7.1054273576010019E-14</v>
      </c>
      <c r="X24" s="203">
        <v>7.1054273576010019E-14</v>
      </c>
    </row>
    <row r="25" spans="1:24" x14ac:dyDescent="0.25">
      <c r="A25" s="80" t="s">
        <v>202</v>
      </c>
      <c r="B25" s="134">
        <v>5.0000000000000001E-3</v>
      </c>
      <c r="C25" s="128">
        <v>0.01</v>
      </c>
      <c r="D25" s="128">
        <v>0</v>
      </c>
      <c r="E25" s="134">
        <v>5.0000000000000001E-3</v>
      </c>
      <c r="I25" t="s">
        <v>285</v>
      </c>
      <c r="K25" s="146"/>
      <c r="L25" s="146">
        <v>31.270824999999959</v>
      </c>
      <c r="M25" s="146">
        <v>32.852099305625003</v>
      </c>
      <c r="N25" s="146">
        <v>40.481836461164654</v>
      </c>
      <c r="O25" s="146">
        <v>53.872656642968408</v>
      </c>
      <c r="P25" s="146">
        <v>54.994554717558259</v>
      </c>
      <c r="Q25" s="146">
        <v>56.139816319551386</v>
      </c>
      <c r="R25" s="146">
        <v>102.30892799440603</v>
      </c>
      <c r="S25" s="146">
        <v>104.43951141988954</v>
      </c>
      <c r="T25" s="146">
        <v>106.61446424520871</v>
      </c>
      <c r="U25" s="146">
        <v>108.83471046311523</v>
      </c>
      <c r="V25" s="202">
        <v>28.19059743051281</v>
      </c>
      <c r="W25" s="203">
        <v>0</v>
      </c>
      <c r="X25" s="203">
        <v>0</v>
      </c>
    </row>
    <row r="26" spans="1:24" x14ac:dyDescent="0.25">
      <c r="A26" s="80" t="s">
        <v>243</v>
      </c>
      <c r="B26" s="80">
        <v>0</v>
      </c>
      <c r="C26" s="80">
        <v>0</v>
      </c>
      <c r="D26" s="80">
        <v>0</v>
      </c>
      <c r="E26" s="176">
        <f>'Deal Evaluation'!J16</f>
        <v>28.787878787878789</v>
      </c>
    </row>
    <row r="27" spans="1:24" x14ac:dyDescent="0.25">
      <c r="A27" s="80"/>
      <c r="B27" s="80"/>
      <c r="C27" s="80"/>
      <c r="D27" s="80"/>
      <c r="E27" s="80"/>
      <c r="I27" s="89" t="s">
        <v>326</v>
      </c>
      <c r="J27" s="5"/>
      <c r="K27" s="5"/>
      <c r="L27" s="139"/>
      <c r="M27" s="139"/>
      <c r="N27" s="139"/>
      <c r="O27" s="139"/>
      <c r="P27" s="139"/>
      <c r="Q27" s="139"/>
      <c r="R27" s="139"/>
      <c r="S27" s="139"/>
      <c r="T27" s="139"/>
      <c r="U27" s="139"/>
      <c r="V27" s="212"/>
      <c r="W27" s="212"/>
      <c r="X27" s="212"/>
    </row>
    <row r="28" spans="1:24" x14ac:dyDescent="0.25">
      <c r="A28" s="242" t="s">
        <v>254</v>
      </c>
      <c r="B28" s="242"/>
      <c r="C28" s="242"/>
      <c r="D28" s="242"/>
      <c r="E28" s="242"/>
      <c r="L28" s="239" t="s">
        <v>319</v>
      </c>
      <c r="M28" s="239"/>
      <c r="N28" s="239"/>
      <c r="O28" s="239"/>
      <c r="P28" s="239"/>
      <c r="Q28" s="239"/>
      <c r="R28" s="239"/>
      <c r="S28" s="239"/>
      <c r="T28" s="239"/>
      <c r="U28" s="239"/>
      <c r="V28" s="240" t="s">
        <v>325</v>
      </c>
      <c r="W28" s="241"/>
      <c r="X28" s="241"/>
    </row>
    <row r="29" spans="1:24" x14ac:dyDescent="0.25">
      <c r="A29" s="201" t="s">
        <v>320</v>
      </c>
      <c r="B29" s="140"/>
      <c r="C29" s="140"/>
      <c r="D29" s="140"/>
      <c r="E29" s="140"/>
      <c r="K29" s="46" t="s">
        <v>191</v>
      </c>
      <c r="L29" s="205" t="s">
        <v>192</v>
      </c>
      <c r="M29" s="205" t="s">
        <v>193</v>
      </c>
      <c r="N29" s="205" t="s">
        <v>194</v>
      </c>
      <c r="O29" s="205" t="s">
        <v>211</v>
      </c>
      <c r="P29" s="205" t="s">
        <v>212</v>
      </c>
      <c r="Q29" s="205" t="s">
        <v>213</v>
      </c>
      <c r="R29" s="205" t="s">
        <v>214</v>
      </c>
      <c r="S29" s="205" t="s">
        <v>215</v>
      </c>
      <c r="T29" s="205" t="s">
        <v>216</v>
      </c>
      <c r="U29" s="206" t="s">
        <v>217</v>
      </c>
      <c r="V29" s="207" t="s">
        <v>247</v>
      </c>
      <c r="W29" s="207" t="s">
        <v>313</v>
      </c>
      <c r="X29" s="207" t="s">
        <v>317</v>
      </c>
    </row>
    <row r="30" spans="1:24" x14ac:dyDescent="0.25">
      <c r="A30" s="80" t="s">
        <v>252</v>
      </c>
      <c r="B30" s="135">
        <v>-390.59367949498443</v>
      </c>
      <c r="C30" s="135">
        <v>539.36118229652971</v>
      </c>
      <c r="D30" s="135">
        <v>-668.00886367937392</v>
      </c>
      <c r="E30" s="135">
        <v>-530.77496483175491</v>
      </c>
      <c r="F30" s="219"/>
      <c r="I30" t="s">
        <v>165</v>
      </c>
      <c r="K30" s="146">
        <v>720</v>
      </c>
      <c r="L30" s="146">
        <v>699.05614769253793</v>
      </c>
      <c r="M30" s="146">
        <v>673.19137795518532</v>
      </c>
      <c r="N30" s="146">
        <v>636.1810388000473</v>
      </c>
      <c r="O30" s="146">
        <v>582.08098969198329</v>
      </c>
      <c r="P30" s="146">
        <v>522.96998784764787</v>
      </c>
      <c r="Q30" s="146">
        <v>458.62715159175195</v>
      </c>
      <c r="R30" s="146">
        <v>343.82350052814076</v>
      </c>
      <c r="S30" s="146">
        <v>222.38456294987463</v>
      </c>
      <c r="T30" s="146">
        <v>94.044822997857722</v>
      </c>
      <c r="U30" s="209">
        <v>0</v>
      </c>
      <c r="V30" s="202">
        <v>0</v>
      </c>
      <c r="W30" s="203">
        <v>0</v>
      </c>
      <c r="X30" s="203">
        <v>0</v>
      </c>
    </row>
    <row r="31" spans="1:24" x14ac:dyDescent="0.25">
      <c r="A31" s="80" t="s">
        <v>207</v>
      </c>
      <c r="B31" s="136">
        <v>9.3915617591992503E-2</v>
      </c>
      <c r="C31" s="136">
        <v>0.14584354440233838</v>
      </c>
      <c r="D31" s="136">
        <v>7.0073077274791021E-2</v>
      </c>
      <c r="E31" s="136">
        <v>8.4652428759052448E-2</v>
      </c>
      <c r="I31" t="s">
        <v>285</v>
      </c>
      <c r="K31" s="146"/>
      <c r="L31" s="146">
        <v>20.943852307462109</v>
      </c>
      <c r="M31" s="146">
        <v>25.864769737352617</v>
      </c>
      <c r="N31" s="146">
        <v>37.010339155138013</v>
      </c>
      <c r="O31" s="146">
        <v>54.100049108064027</v>
      </c>
      <c r="P31" s="146">
        <v>59.111001844335469</v>
      </c>
      <c r="Q31" s="146">
        <v>64.342836255895904</v>
      </c>
      <c r="R31" s="146">
        <v>114.8036510636112</v>
      </c>
      <c r="S31" s="146">
        <v>121.43893757826612</v>
      </c>
      <c r="T31" s="146">
        <v>128.33973995201691</v>
      </c>
      <c r="U31" s="204">
        <v>94.044822997857693</v>
      </c>
      <c r="V31" s="203">
        <v>0</v>
      </c>
      <c r="W31" s="203">
        <v>0</v>
      </c>
      <c r="X31" s="203">
        <v>0</v>
      </c>
    </row>
    <row r="33" spans="1:24" x14ac:dyDescent="0.25">
      <c r="A33" s="201" t="s">
        <v>9</v>
      </c>
      <c r="B33" s="175"/>
      <c r="C33" s="180"/>
    </row>
    <row r="34" spans="1:24" ht="18.75" x14ac:dyDescent="0.3">
      <c r="A34" s="80" t="s">
        <v>252</v>
      </c>
      <c r="B34" s="135">
        <v>163.29704024920807</v>
      </c>
      <c r="C34" s="135">
        <v>619.64392997424397</v>
      </c>
      <c r="D34" s="135">
        <v>41.327543499796761</v>
      </c>
      <c r="E34" s="135">
        <v>110.581778355577</v>
      </c>
      <c r="F34" s="219"/>
      <c r="I34" s="228" t="s">
        <v>357</v>
      </c>
      <c r="J34" s="148"/>
      <c r="K34" s="148"/>
      <c r="L34" s="148"/>
      <c r="M34" s="148"/>
      <c r="N34" s="148"/>
      <c r="O34" s="148"/>
      <c r="P34" s="148"/>
      <c r="Q34" s="148"/>
      <c r="R34" s="148"/>
      <c r="S34" s="148"/>
      <c r="T34" s="148"/>
      <c r="U34" s="148"/>
      <c r="V34" s="148"/>
      <c r="W34" s="148"/>
      <c r="X34" s="148"/>
    </row>
    <row r="35" spans="1:24" x14ac:dyDescent="0.25">
      <c r="A35" s="136" t="s">
        <v>207</v>
      </c>
      <c r="B35" s="136">
        <v>0.17520720464388301</v>
      </c>
      <c r="C35" s="136">
        <v>0.24296328907370526</v>
      </c>
      <c r="D35" s="136">
        <v>0.13759768576668865</v>
      </c>
      <c r="E35" s="136">
        <v>0.15913130105582612</v>
      </c>
      <c r="H35" s="136"/>
    </row>
    <row r="36" spans="1:24" x14ac:dyDescent="0.25">
      <c r="B36" s="136"/>
      <c r="I36" s="89" t="s">
        <v>322</v>
      </c>
      <c r="J36" s="5"/>
      <c r="K36" s="5"/>
      <c r="L36" s="5"/>
      <c r="M36" s="5"/>
      <c r="N36" s="5"/>
      <c r="O36" s="5"/>
      <c r="P36" s="5"/>
      <c r="Q36" s="5"/>
      <c r="R36" s="5"/>
      <c r="S36" s="5"/>
      <c r="T36" s="5"/>
      <c r="U36" s="5"/>
      <c r="V36" s="212"/>
      <c r="W36" s="212"/>
      <c r="X36" s="212"/>
    </row>
    <row r="37" spans="1:24" x14ac:dyDescent="0.25">
      <c r="A37" s="201" t="s">
        <v>273</v>
      </c>
      <c r="K37" s="46" t="s">
        <v>191</v>
      </c>
      <c r="L37" s="205" t="s">
        <v>192</v>
      </c>
      <c r="M37" s="205" t="s">
        <v>193</v>
      </c>
      <c r="N37" s="205" t="s">
        <v>194</v>
      </c>
      <c r="O37" s="205" t="s">
        <v>211</v>
      </c>
      <c r="P37" s="205" t="s">
        <v>212</v>
      </c>
      <c r="Q37" s="205" t="s">
        <v>213</v>
      </c>
      <c r="R37" s="205" t="s">
        <v>214</v>
      </c>
      <c r="S37" s="205" t="s">
        <v>215</v>
      </c>
      <c r="T37" s="205" t="s">
        <v>216</v>
      </c>
      <c r="U37" s="210" t="s">
        <v>217</v>
      </c>
      <c r="V37" s="207" t="s">
        <v>247</v>
      </c>
      <c r="W37" s="207" t="s">
        <v>313</v>
      </c>
      <c r="X37" s="207" t="s">
        <v>317</v>
      </c>
    </row>
    <row r="38" spans="1:24" x14ac:dyDescent="0.25">
      <c r="A38" s="80" t="s">
        <v>252</v>
      </c>
      <c r="B38" s="135">
        <v>-553.89071974419244</v>
      </c>
      <c r="C38" s="135">
        <v>-80.282747677714099</v>
      </c>
      <c r="D38" s="135">
        <v>-709.33640717917046</v>
      </c>
      <c r="E38" s="135">
        <v>-641.35674318733174</v>
      </c>
      <c r="F38" s="219"/>
      <c r="I38" t="s">
        <v>355</v>
      </c>
      <c r="K38" s="146">
        <v>48.290883749999999</v>
      </c>
      <c r="L38" s="146">
        <v>57.636498813750009</v>
      </c>
      <c r="M38" s="146">
        <v>60.878690952802629</v>
      </c>
      <c r="N38" s="146">
        <v>64.098181510938673</v>
      </c>
      <c r="O38" s="146">
        <v>67.103824292644219</v>
      </c>
      <c r="P38" s="146">
        <v>70.390320545456007</v>
      </c>
      <c r="Q38" s="146">
        <v>73.821066120265115</v>
      </c>
      <c r="R38" s="146">
        <v>77.401339235727875</v>
      </c>
      <c r="S38" s="146">
        <v>81.774471256625148</v>
      </c>
      <c r="T38" s="146">
        <v>85.342578053838977</v>
      </c>
      <c r="U38" s="203">
        <v>88.984691380853874</v>
      </c>
      <c r="V38" s="203">
        <v>92.705450122279515</v>
      </c>
      <c r="W38" s="203">
        <v>95.486613625947882</v>
      </c>
      <c r="X38" s="146">
        <v>98.351212034726331</v>
      </c>
    </row>
    <row r="39" spans="1:24" x14ac:dyDescent="0.25">
      <c r="A39" s="136" t="s">
        <v>207</v>
      </c>
      <c r="B39" s="136">
        <v>7.2039690989046501E-2</v>
      </c>
      <c r="C39" s="136">
        <v>0.11461634893002634</v>
      </c>
      <c r="D39" s="136">
        <v>5.3857887128756707E-2</v>
      </c>
      <c r="E39" s="136">
        <v>6.5303591657938795E-2</v>
      </c>
      <c r="F39" s="136"/>
      <c r="G39" s="136"/>
      <c r="V39" s="109"/>
      <c r="W39" s="109"/>
    </row>
    <row r="40" spans="1:24" x14ac:dyDescent="0.25">
      <c r="I40" s="89" t="s">
        <v>323</v>
      </c>
      <c r="J40" s="5"/>
      <c r="K40" s="5"/>
      <c r="L40" s="222"/>
      <c r="M40" s="222"/>
      <c r="N40" s="222"/>
      <c r="O40" s="222"/>
      <c r="P40" s="222"/>
      <c r="Q40" s="222"/>
      <c r="R40" s="222"/>
      <c r="S40" s="222"/>
      <c r="T40" s="222"/>
      <c r="U40" s="222"/>
      <c r="V40" s="212"/>
      <c r="W40" s="212"/>
      <c r="X40" s="212"/>
    </row>
    <row r="41" spans="1:24" x14ac:dyDescent="0.25">
      <c r="K41" s="46" t="s">
        <v>191</v>
      </c>
      <c r="L41" s="205" t="s">
        <v>192</v>
      </c>
      <c r="M41" s="205" t="s">
        <v>193</v>
      </c>
      <c r="N41" s="205" t="s">
        <v>194</v>
      </c>
      <c r="O41" s="205" t="s">
        <v>211</v>
      </c>
      <c r="P41" s="205" t="s">
        <v>212</v>
      </c>
      <c r="Q41" s="205" t="s">
        <v>213</v>
      </c>
      <c r="R41" s="205" t="s">
        <v>214</v>
      </c>
      <c r="S41" s="205" t="s">
        <v>215</v>
      </c>
      <c r="T41" s="205" t="s">
        <v>216</v>
      </c>
      <c r="U41" s="210" t="s">
        <v>217</v>
      </c>
      <c r="V41" s="207" t="s">
        <v>247</v>
      </c>
      <c r="W41" s="207" t="s">
        <v>313</v>
      </c>
      <c r="X41" s="207" t="s">
        <v>317</v>
      </c>
    </row>
    <row r="42" spans="1:24" x14ac:dyDescent="0.25">
      <c r="I42" t="s">
        <v>355</v>
      </c>
      <c r="K42" s="146">
        <v>51.662381250000003</v>
      </c>
      <c r="L42" s="146">
        <v>67.331239875000023</v>
      </c>
      <c r="M42" s="146">
        <v>76.607667717271909</v>
      </c>
      <c r="N42" s="146">
        <v>86.732166410721618</v>
      </c>
      <c r="O42" s="146">
        <v>97.573958489475075</v>
      </c>
      <c r="P42" s="146">
        <v>109.06637433558757</v>
      </c>
      <c r="Q42" s="146">
        <v>121.60597175213636</v>
      </c>
      <c r="R42" s="146">
        <v>135.29746891175748</v>
      </c>
      <c r="S42" s="146">
        <v>150.25605580293319</v>
      </c>
      <c r="T42" s="146">
        <v>166.60844138322659</v>
      </c>
      <c r="U42" s="203">
        <v>184.49400552154927</v>
      </c>
      <c r="V42" s="203">
        <v>204.06606607370418</v>
      </c>
      <c r="W42" s="203">
        <v>224.47267268107461</v>
      </c>
      <c r="X42" s="146">
        <v>246.91993994918215</v>
      </c>
    </row>
    <row r="43" spans="1:24" x14ac:dyDescent="0.25">
      <c r="A43" s="80" t="s">
        <v>340</v>
      </c>
      <c r="B43" s="217">
        <f>B3/(B3+B5+B6)</f>
        <v>6.8702290076335881E-2</v>
      </c>
      <c r="C43" s="80"/>
      <c r="V43" s="109"/>
      <c r="W43" s="109"/>
    </row>
    <row r="44" spans="1:24" x14ac:dyDescent="0.25">
      <c r="A44" s="80" t="s">
        <v>341</v>
      </c>
      <c r="B44" s="218">
        <f>B43*B30</f>
        <v>-26.834680270647787</v>
      </c>
      <c r="C44" s="80"/>
      <c r="I44" s="89" t="s">
        <v>324</v>
      </c>
      <c r="J44" s="5"/>
      <c r="K44" s="5"/>
      <c r="L44" s="222"/>
      <c r="M44" s="222"/>
      <c r="N44" s="222"/>
      <c r="O44" s="222"/>
      <c r="P44" s="222"/>
      <c r="Q44" s="222"/>
      <c r="R44" s="222"/>
      <c r="S44" s="222"/>
      <c r="T44" s="222"/>
      <c r="U44" s="222"/>
      <c r="V44" s="212"/>
      <c r="W44" s="212"/>
      <c r="X44" s="212"/>
    </row>
    <row r="45" spans="1:24" x14ac:dyDescent="0.25">
      <c r="A45" s="80" t="s">
        <v>342</v>
      </c>
      <c r="B45" s="218">
        <f>-B44+B34</f>
        <v>190.13172051985586</v>
      </c>
      <c r="C45" s="80"/>
      <c r="K45" s="46" t="s">
        <v>191</v>
      </c>
      <c r="L45" s="205" t="s">
        <v>192</v>
      </c>
      <c r="M45" s="205" t="s">
        <v>193</v>
      </c>
      <c r="N45" s="205" t="s">
        <v>194</v>
      </c>
      <c r="O45" s="205" t="s">
        <v>211</v>
      </c>
      <c r="P45" s="205" t="s">
        <v>212</v>
      </c>
      <c r="Q45" s="205" t="s">
        <v>213</v>
      </c>
      <c r="R45" s="205" t="s">
        <v>214</v>
      </c>
      <c r="S45" s="205" t="s">
        <v>215</v>
      </c>
      <c r="T45" s="205" t="s">
        <v>216</v>
      </c>
      <c r="U45" s="210" t="s">
        <v>217</v>
      </c>
      <c r="V45" s="207" t="s">
        <v>247</v>
      </c>
      <c r="W45" s="207" t="s">
        <v>313</v>
      </c>
      <c r="X45" s="207" t="s">
        <v>317</v>
      </c>
    </row>
    <row r="46" spans="1:24" x14ac:dyDescent="0.25">
      <c r="A46" s="80"/>
      <c r="B46" s="80"/>
      <c r="C46" s="80"/>
      <c r="I46" t="s">
        <v>355</v>
      </c>
      <c r="K46" s="146">
        <v>46.84595625</v>
      </c>
      <c r="L46" s="146">
        <v>53.67667500000001</v>
      </c>
      <c r="M46" s="146">
        <v>54.753004569375008</v>
      </c>
      <c r="N46" s="146">
        <v>55.692153389532244</v>
      </c>
      <c r="O46" s="146">
        <v>56.298509983869252</v>
      </c>
      <c r="P46" s="146">
        <v>57.062154891783322</v>
      </c>
      <c r="Q46" s="146">
        <v>57.841702704904712</v>
      </c>
      <c r="R46" s="146">
        <v>58.637484601234348</v>
      </c>
      <c r="S46" s="146">
        <v>60.087713655555056</v>
      </c>
      <c r="T46" s="146">
        <v>61.56814372993199</v>
      </c>
      <c r="U46" s="146">
        <v>63.079403760607832</v>
      </c>
      <c r="V46" s="203">
        <v>65.0217375</v>
      </c>
      <c r="W46" s="203">
        <v>65.0217375</v>
      </c>
      <c r="X46" s="146">
        <v>65.0217375</v>
      </c>
    </row>
    <row r="47" spans="1:24" x14ac:dyDescent="0.25">
      <c r="A47" s="80"/>
      <c r="B47" s="80"/>
      <c r="C47" s="80"/>
      <c r="V47" s="109"/>
      <c r="W47" s="109"/>
    </row>
    <row r="48" spans="1:24" x14ac:dyDescent="0.25">
      <c r="I48" s="89" t="s">
        <v>326</v>
      </c>
      <c r="J48" s="5"/>
      <c r="K48" s="5"/>
      <c r="L48" s="222"/>
      <c r="M48" s="222"/>
      <c r="N48" s="222"/>
      <c r="O48" s="222"/>
      <c r="P48" s="222"/>
      <c r="Q48" s="222"/>
      <c r="R48" s="222"/>
      <c r="S48" s="222"/>
      <c r="T48" s="222"/>
      <c r="U48" s="222"/>
      <c r="V48" s="212"/>
      <c r="W48" s="212"/>
      <c r="X48" s="212"/>
    </row>
    <row r="49" spans="9:24" x14ac:dyDescent="0.25">
      <c r="K49" s="46" t="s">
        <v>191</v>
      </c>
      <c r="L49" s="205" t="s">
        <v>192</v>
      </c>
      <c r="M49" s="205" t="s">
        <v>193</v>
      </c>
      <c r="N49" s="205" t="s">
        <v>194</v>
      </c>
      <c r="O49" s="205" t="s">
        <v>211</v>
      </c>
      <c r="P49" s="205" t="s">
        <v>212</v>
      </c>
      <c r="Q49" s="205" t="s">
        <v>213</v>
      </c>
      <c r="R49" s="205" t="s">
        <v>214</v>
      </c>
      <c r="S49" s="205" t="s">
        <v>215</v>
      </c>
      <c r="T49" s="205" t="s">
        <v>216</v>
      </c>
      <c r="U49" s="210" t="s">
        <v>217</v>
      </c>
      <c r="V49" s="207" t="s">
        <v>247</v>
      </c>
      <c r="W49" s="207" t="s">
        <v>313</v>
      </c>
      <c r="X49" s="207" t="s">
        <v>317</v>
      </c>
    </row>
    <row r="50" spans="9:24" x14ac:dyDescent="0.25">
      <c r="I50" t="s">
        <v>355</v>
      </c>
      <c r="K50" s="146">
        <v>48.290883749999999</v>
      </c>
      <c r="L50" s="146">
        <v>45.977407904659103</v>
      </c>
      <c r="M50" s="146">
        <v>48.976799475529909</v>
      </c>
      <c r="N50" s="146">
        <v>51.948433143651741</v>
      </c>
      <c r="O50" s="146">
        <v>54.701057415608531</v>
      </c>
      <c r="P50" s="146">
        <v>57.729266048206057</v>
      </c>
      <c r="Q50" s="146">
        <v>60.896345148934927</v>
      </c>
      <c r="R50" s="146">
        <v>64.207460921935237</v>
      </c>
      <c r="S50" s="146">
        <v>68.305830426907121</v>
      </c>
      <c r="T50" s="146">
        <v>72.572385950758587</v>
      </c>
      <c r="U50" s="146">
        <v>77.01311510576835</v>
      </c>
      <c r="V50" s="203">
        <v>81.046359213188609</v>
      </c>
      <c r="W50" s="203">
        <v>83.827522716856976</v>
      </c>
      <c r="X50" s="146">
        <v>86.692121125635424</v>
      </c>
    </row>
    <row r="51" spans="9:24" x14ac:dyDescent="0.25">
      <c r="I51" t="s">
        <v>356</v>
      </c>
      <c r="L51">
        <v>29</v>
      </c>
      <c r="M51">
        <v>29</v>
      </c>
      <c r="N51">
        <v>29</v>
      </c>
      <c r="O51">
        <v>29</v>
      </c>
      <c r="P51">
        <v>29</v>
      </c>
      <c r="Q51">
        <v>29</v>
      </c>
      <c r="R51">
        <v>29</v>
      </c>
      <c r="S51">
        <v>29</v>
      </c>
      <c r="T51">
        <v>29</v>
      </c>
      <c r="U51">
        <v>29</v>
      </c>
      <c r="V51">
        <v>29</v>
      </c>
      <c r="W51">
        <v>29</v>
      </c>
      <c r="X51">
        <v>29</v>
      </c>
    </row>
  </sheetData>
  <mergeCells count="10">
    <mergeCell ref="L28:U28"/>
    <mergeCell ref="V28:X28"/>
    <mergeCell ref="A28:E28"/>
    <mergeCell ref="A23:E23"/>
    <mergeCell ref="V10:X10"/>
    <mergeCell ref="L10:U10"/>
    <mergeCell ref="L16:U16"/>
    <mergeCell ref="V16:X16"/>
    <mergeCell ref="L22:U22"/>
    <mergeCell ref="V22:X22"/>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 given</vt:lpstr>
      <vt:lpstr>Digicel segment reporting</vt:lpstr>
      <vt:lpstr>Loan and interest</vt:lpstr>
      <vt:lpstr>Deal Evaluation</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Sharon Liu</cp:lastModifiedBy>
  <dcterms:created xsi:type="dcterms:W3CDTF">2021-12-06T00:27:48Z</dcterms:created>
  <dcterms:modified xsi:type="dcterms:W3CDTF">2022-04-13T01:17:31Z</dcterms:modified>
</cp:coreProperties>
</file>