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annem\Documents\Work\Devpolicy\Blogs\2023\04 April 2023\"/>
    </mc:Choice>
  </mc:AlternateContent>
  <xr:revisionPtr revIDLastSave="0" documentId="8_{56491F96-C753-41B5-9D13-9FFCE85D860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1" l="1"/>
  <c r="E29" i="1"/>
  <c r="J9" i="1"/>
  <c r="L9" i="1"/>
  <c r="J24" i="1" l="1"/>
  <c r="L31" i="1"/>
  <c r="H30" i="1"/>
  <c r="G30" i="1"/>
  <c r="F30" i="1"/>
  <c r="I26" i="1"/>
  <c r="I30" i="1"/>
  <c r="C30" i="1"/>
  <c r="D30" i="1"/>
  <c r="E30" i="1"/>
  <c r="J30" i="1"/>
  <c r="C29" i="1"/>
  <c r="H29" i="1"/>
  <c r="I25" i="1"/>
  <c r="G29" i="1"/>
  <c r="L43" i="1" l="1"/>
  <c r="J26" i="1"/>
  <c r="K36" i="1"/>
  <c r="F123" i="1"/>
  <c r="L11" i="1"/>
  <c r="D4" i="1"/>
  <c r="L56" i="1" l="1"/>
  <c r="D43" i="1"/>
  <c r="E43" i="1"/>
  <c r="F43" i="1"/>
  <c r="G43" i="1"/>
  <c r="H43" i="1"/>
  <c r="I43" i="1"/>
  <c r="J43" i="1"/>
  <c r="K43" i="1"/>
  <c r="C43" i="1"/>
  <c r="D31" i="1"/>
  <c r="F31" i="1"/>
  <c r="H26" i="1"/>
  <c r="F25" i="1"/>
  <c r="L29" i="1"/>
  <c r="L82" i="1" s="1"/>
  <c r="L14" i="1"/>
  <c r="K29" i="1"/>
  <c r="L24" i="1"/>
  <c r="K19" i="1"/>
  <c r="L36" i="1"/>
  <c r="K35" i="1"/>
  <c r="L35" i="1"/>
  <c r="J37" i="1"/>
  <c r="K31" i="1"/>
  <c r="G31" i="1"/>
  <c r="J29" i="1"/>
  <c r="J25" i="1"/>
  <c r="L19" i="1"/>
  <c r="J20" i="1"/>
  <c r="L16" i="1"/>
  <c r="J15" i="1"/>
  <c r="K9" i="1"/>
  <c r="K56" i="1" s="1"/>
  <c r="J10" i="1"/>
  <c r="J5" i="1"/>
  <c r="L4" i="1"/>
  <c r="L49" i="1" s="1"/>
  <c r="K4" i="1"/>
  <c r="F4" i="1"/>
  <c r="K123" i="1"/>
  <c r="E123" i="1"/>
  <c r="K115" i="1"/>
  <c r="F115" i="1"/>
  <c r="E115" i="1"/>
  <c r="K109" i="1"/>
  <c r="F109" i="1"/>
  <c r="E109" i="1"/>
  <c r="C36" i="1"/>
  <c r="C95" i="1" s="1"/>
  <c r="J50" i="1" l="1"/>
  <c r="J120" i="1" s="1"/>
  <c r="J96" i="1"/>
  <c r="L95" i="1"/>
  <c r="J64" i="1"/>
  <c r="J76" i="1"/>
  <c r="J83" i="1"/>
  <c r="J57" i="1"/>
  <c r="J121" i="1" s="1"/>
  <c r="L69" i="1"/>
  <c r="L107" i="1" s="1"/>
  <c r="J70" i="1"/>
  <c r="J122" i="1" s="1"/>
  <c r="L75" i="1"/>
  <c r="L63" i="1"/>
  <c r="K71" i="1"/>
  <c r="F71" i="1"/>
  <c r="E71" i="1"/>
  <c r="D71" i="1"/>
  <c r="J19" i="1"/>
  <c r="I20" i="1"/>
  <c r="I19" i="1"/>
  <c r="H20" i="1"/>
  <c r="H19" i="1"/>
  <c r="G20" i="1"/>
  <c r="G19" i="1"/>
  <c r="F20" i="1"/>
  <c r="F19" i="1"/>
  <c r="E20" i="1"/>
  <c r="E19" i="1"/>
  <c r="D20" i="1"/>
  <c r="C20" i="1"/>
  <c r="C19" i="1"/>
  <c r="L113" i="1" l="1"/>
  <c r="J90" i="1"/>
  <c r="J108" i="1"/>
  <c r="J114" i="1" s="1"/>
  <c r="L89" i="1"/>
  <c r="J11" i="1"/>
  <c r="K11" i="1"/>
  <c r="K91" i="1" l="1"/>
  <c r="F91" i="1"/>
  <c r="E91" i="1"/>
  <c r="K84" i="1"/>
  <c r="F84" i="1"/>
  <c r="E84" i="1"/>
  <c r="K77" i="1"/>
  <c r="F77" i="1"/>
  <c r="E77" i="1"/>
  <c r="K65" i="1"/>
  <c r="F65" i="1"/>
  <c r="E65" i="1"/>
  <c r="K58" i="1"/>
  <c r="F58" i="1"/>
  <c r="E58" i="1"/>
  <c r="E51" i="1"/>
  <c r="F51" i="1"/>
  <c r="K51" i="1"/>
  <c r="I37" i="1"/>
  <c r="I24" i="1"/>
  <c r="K24" i="1"/>
  <c r="I10" i="1"/>
  <c r="I15" i="1"/>
  <c r="K14" i="1"/>
  <c r="I5" i="1"/>
  <c r="I4" i="1"/>
  <c r="K69" i="1"/>
  <c r="J69" i="1"/>
  <c r="D70" i="1"/>
  <c r="D122" i="1" s="1"/>
  <c r="D123" i="1" s="1"/>
  <c r="J4" i="1"/>
  <c r="J35" i="1"/>
  <c r="H35" i="1"/>
  <c r="G35" i="1"/>
  <c r="F35" i="1"/>
  <c r="E35" i="1"/>
  <c r="D35" i="1"/>
  <c r="C35" i="1"/>
  <c r="C37" i="1"/>
  <c r="D37" i="1"/>
  <c r="D36" i="1"/>
  <c r="D95" i="1" s="1"/>
  <c r="E37" i="1"/>
  <c r="E36" i="1"/>
  <c r="F37" i="1"/>
  <c r="F36" i="1"/>
  <c r="G37" i="1"/>
  <c r="G36" i="1"/>
  <c r="H37" i="1"/>
  <c r="H36" i="1"/>
  <c r="J36" i="1"/>
  <c r="I29" i="1"/>
  <c r="F29" i="1"/>
  <c r="D29" i="1"/>
  <c r="C82" i="1"/>
  <c r="H25" i="1"/>
  <c r="H24" i="1"/>
  <c r="G25" i="1"/>
  <c r="G24" i="1"/>
  <c r="F24" i="1"/>
  <c r="E25" i="1"/>
  <c r="E24" i="1"/>
  <c r="C25" i="1"/>
  <c r="D25" i="1"/>
  <c r="D24" i="1"/>
  <c r="C24" i="1"/>
  <c r="J14" i="1"/>
  <c r="I14" i="1"/>
  <c r="H15" i="1"/>
  <c r="H14" i="1"/>
  <c r="G15" i="1"/>
  <c r="G14" i="1"/>
  <c r="F15" i="1"/>
  <c r="F64" i="1" s="1"/>
  <c r="F14" i="1"/>
  <c r="D15" i="1"/>
  <c r="E15" i="1"/>
  <c r="E14" i="1"/>
  <c r="D14" i="1"/>
  <c r="C15" i="1"/>
  <c r="C14" i="1"/>
  <c r="H10" i="1"/>
  <c r="G10" i="1"/>
  <c r="F10" i="1"/>
  <c r="E10" i="1"/>
  <c r="D10" i="1"/>
  <c r="C10" i="1"/>
  <c r="I9" i="1"/>
  <c r="H9" i="1"/>
  <c r="G9" i="1"/>
  <c r="F9" i="1"/>
  <c r="E9" i="1"/>
  <c r="D9" i="1"/>
  <c r="C9" i="1"/>
  <c r="H5" i="1"/>
  <c r="G5" i="1"/>
  <c r="F5" i="1"/>
  <c r="E5" i="1"/>
  <c r="D5" i="1"/>
  <c r="C5" i="1"/>
  <c r="H4" i="1"/>
  <c r="G4" i="1"/>
  <c r="E4" i="1"/>
  <c r="C4" i="1"/>
  <c r="I36" i="1"/>
  <c r="I35" i="1"/>
  <c r="C69" i="1" l="1"/>
  <c r="I82" i="1"/>
  <c r="G69" i="1"/>
  <c r="G70" i="1"/>
  <c r="G122" i="1" s="1"/>
  <c r="E69" i="1"/>
  <c r="E70" i="1"/>
  <c r="E122" i="1" s="1"/>
  <c r="I70" i="1"/>
  <c r="I122" i="1" s="1"/>
  <c r="I69" i="1"/>
  <c r="C70" i="1"/>
  <c r="C122" i="1" s="1"/>
  <c r="F70" i="1"/>
  <c r="F122" i="1" s="1"/>
  <c r="F69" i="1"/>
  <c r="H70" i="1"/>
  <c r="H122" i="1" s="1"/>
  <c r="H69" i="1"/>
  <c r="H96" i="1"/>
  <c r="F82" i="1"/>
  <c r="J49" i="1"/>
  <c r="C83" i="1"/>
  <c r="G83" i="1"/>
  <c r="F95" i="1"/>
  <c r="G95" i="1"/>
  <c r="F56" i="1"/>
  <c r="F57" i="1"/>
  <c r="F121" i="1" s="1"/>
  <c r="K95" i="1"/>
  <c r="K49" i="1"/>
  <c r="K63" i="1"/>
  <c r="J63" i="1"/>
  <c r="K82" i="1"/>
  <c r="I83" i="1"/>
  <c r="D56" i="1"/>
  <c r="D58" i="1" s="1"/>
  <c r="H56" i="1"/>
  <c r="D57" i="1"/>
  <c r="D121" i="1" s="1"/>
  <c r="H57" i="1"/>
  <c r="H121" i="1" s="1"/>
  <c r="D63" i="1"/>
  <c r="D65" i="1" s="1"/>
  <c r="H63" i="1"/>
  <c r="H76" i="1"/>
  <c r="I50" i="1"/>
  <c r="I120" i="1" s="1"/>
  <c r="I64" i="1"/>
  <c r="I76" i="1"/>
  <c r="I57" i="1"/>
  <c r="I121" i="1" s="1"/>
  <c r="K75" i="1"/>
  <c r="I96" i="1"/>
  <c r="C75" i="1"/>
  <c r="C89" i="1" s="1"/>
  <c r="G75" i="1"/>
  <c r="C49" i="1"/>
  <c r="G49" i="1"/>
  <c r="E49" i="1"/>
  <c r="E56" i="1"/>
  <c r="E57" i="1"/>
  <c r="E121" i="1" s="1"/>
  <c r="E63" i="1"/>
  <c r="E75" i="1"/>
  <c r="E83" i="1"/>
  <c r="J82" i="1"/>
  <c r="E50" i="1"/>
  <c r="E120" i="1" s="1"/>
  <c r="J56" i="1"/>
  <c r="E64" i="1"/>
  <c r="E76" i="1"/>
  <c r="J75" i="1"/>
  <c r="E96" i="1"/>
  <c r="F50" i="1"/>
  <c r="F120" i="1" s="1"/>
  <c r="F83" i="1"/>
  <c r="F49" i="1"/>
  <c r="F96" i="1"/>
  <c r="I49" i="1"/>
  <c r="H50" i="1"/>
  <c r="H120" i="1" s="1"/>
  <c r="I56" i="1"/>
  <c r="H64" i="1"/>
  <c r="D96" i="1"/>
  <c r="D50" i="1"/>
  <c r="D120" i="1" s="1"/>
  <c r="I75" i="1"/>
  <c r="E95" i="1"/>
  <c r="G82" i="1"/>
  <c r="D49" i="1"/>
  <c r="H49" i="1"/>
  <c r="C63" i="1"/>
  <c r="G63" i="1"/>
  <c r="I63" i="1"/>
  <c r="D75" i="1"/>
  <c r="D77" i="1" s="1"/>
  <c r="D82" i="1"/>
  <c r="D84" i="1" s="1"/>
  <c r="H82" i="1"/>
  <c r="J95" i="1"/>
  <c r="G96" i="1"/>
  <c r="C96" i="1"/>
  <c r="F63" i="1"/>
  <c r="I95" i="1"/>
  <c r="C56" i="1"/>
  <c r="G56" i="1"/>
  <c r="C64" i="1"/>
  <c r="D64" i="1"/>
  <c r="D76" i="1"/>
  <c r="H75" i="1"/>
  <c r="D83" i="1"/>
  <c r="H83" i="1"/>
  <c r="E82" i="1"/>
  <c r="G57" i="1"/>
  <c r="G121" i="1" s="1"/>
  <c r="C57" i="1"/>
  <c r="C121" i="1" s="1"/>
  <c r="G64" i="1"/>
  <c r="G76" i="1"/>
  <c r="G50" i="1"/>
  <c r="C50" i="1"/>
  <c r="C120" i="1" s="1"/>
  <c r="F75" i="1"/>
  <c r="C76" i="1"/>
  <c r="F76" i="1"/>
  <c r="H95" i="1"/>
  <c r="I89" i="1" l="1"/>
  <c r="C107" i="1"/>
  <c r="C113" i="1" s="1"/>
  <c r="G108" i="1"/>
  <c r="G114" i="1" s="1"/>
  <c r="G120" i="1"/>
  <c r="K89" i="1"/>
  <c r="I107" i="1"/>
  <c r="I113" i="1" s="1"/>
  <c r="F108" i="1"/>
  <c r="F114" i="1" s="1"/>
  <c r="I108" i="1"/>
  <c r="I114" i="1" s="1"/>
  <c r="F89" i="1"/>
  <c r="C108" i="1"/>
  <c r="C114" i="1" s="1"/>
  <c r="F107" i="1"/>
  <c r="F113" i="1" s="1"/>
  <c r="D108" i="1"/>
  <c r="K107" i="1"/>
  <c r="K113" i="1" s="1"/>
  <c r="E107" i="1"/>
  <c r="E113" i="1" s="1"/>
  <c r="J107" i="1"/>
  <c r="J113" i="1" s="1"/>
  <c r="H107" i="1"/>
  <c r="H113" i="1" s="1"/>
  <c r="D51" i="1"/>
  <c r="D107" i="1"/>
  <c r="D113" i="1" s="1"/>
  <c r="E108" i="1"/>
  <c r="E114" i="1" s="1"/>
  <c r="G107" i="1"/>
  <c r="G113" i="1" s="1"/>
  <c r="H108" i="1"/>
  <c r="H114" i="1" s="1"/>
  <c r="G90" i="1"/>
  <c r="C90" i="1"/>
  <c r="I90" i="1"/>
  <c r="H90" i="1"/>
  <c r="G89" i="1"/>
  <c r="H89" i="1"/>
  <c r="D89" i="1"/>
  <c r="D91" i="1" s="1"/>
  <c r="E89" i="1"/>
  <c r="J89" i="1"/>
  <c r="E90" i="1"/>
  <c r="F90" i="1"/>
  <c r="D90" i="1"/>
  <c r="D114" i="1" l="1"/>
  <c r="D109" i="1"/>
  <c r="D11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Husnia Hushang</author>
    <author>Author</author>
  </authors>
  <commentList>
    <comment ref="C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2013 bud: vol 2, Appropriations by Economic Classification p. 4.</t>
        </r>
      </text>
    </comment>
    <comment ref="D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2014 bud: vol 3, Program Budget Narrative, p. 37</t>
        </r>
      </text>
    </comment>
    <comment ref="E4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2015 bud: vol 2, Appropriations by Economic Classification  p. 33</t>
        </r>
      </text>
    </comment>
    <comment ref="F4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2016 bud: vol 2, Appropriations by Economic Classification p. 35 &amp; 2</t>
        </r>
      </text>
    </comment>
    <comment ref="G4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2017 bud: vol 2, Appropriations by Economic Classification p. 34 &amp; 3</t>
        </r>
      </text>
    </comment>
    <comment ref="H4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2018 bud: vol 2, Appropriations by Economic Classification p. 32 &amp; 3</t>
        </r>
      </text>
    </comment>
    <comment ref="I4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2019 bud: vol 2, Appropriations by Economic Classification p. 33</t>
        </r>
      </text>
    </comment>
    <comment ref="J4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2020 bud: vol 2, Appropriations by Economic Classification p. 3 &amp; 33</t>
        </r>
      </text>
    </comment>
    <comment ref="K4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bud: vol 2, Appropriations by Economic Classification p. 3 &amp; 36</t>
        </r>
      </text>
    </comment>
    <comment ref="L4" authorId="1" shapeId="0" xr:uid="{D276025A-FAEB-4B4C-BEE6-883C81E2A60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2022 bud: vol 2, Appropriations by Economic Classification p. 3 &amp; 38</t>
        </r>
      </text>
    </comment>
    <comment ref="C5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2015 bud: vol 2, Appropriations by 
Economic Classification p. 33</t>
        </r>
      </text>
    </comment>
    <comment ref="D5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2016 bud: vol 2, Appropriations by Economic Classification p. 35 &amp; 2</t>
        </r>
      </text>
    </comment>
    <comment ref="E5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2017 bud: vol 2, Appropriations by Economic Classification p. 34 &amp; 3</t>
        </r>
      </text>
    </comment>
    <comment ref="F5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2018 bud: vol 2, Appropriations by Economic Classification p. 32</t>
        </r>
      </text>
    </comment>
    <comment ref="G5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2019 bud: vol 2, Appropriations by Economic Classification p. 33</t>
        </r>
      </text>
    </comment>
    <comment ref="H5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2020 bud: vol 2, Appropriations by Economic Classification p. 33</t>
        </r>
      </text>
    </comment>
    <comment ref="I5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bud: vol 2, Appropriations by Economic Classification p. 36</t>
        </r>
      </text>
    </comment>
    <comment ref="J5" authorId="1" shapeId="0" xr:uid="{CCDB462D-76DE-43D1-B7FB-209B6419D8B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bud: vol 2, Appropriations by Economic Classification p. 38</t>
        </r>
      </text>
    </comment>
    <comment ref="C9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2013 bud: vol 2,Appropriations by Economic Classification, p. 4.</t>
        </r>
      </text>
    </comment>
    <comment ref="D9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2014 bud: vol 3, Program Budget Narrative, p. 34</t>
        </r>
      </text>
    </comment>
    <comment ref="E9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2015 bud: vol 2, Appropriations by Economic Classification p. 32</t>
        </r>
      </text>
    </comment>
    <comment ref="F9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2016 bud: vol 2, Appropriations by Economic Classification p. 34 &amp; 3</t>
        </r>
      </text>
    </comment>
    <comment ref="G9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2017 bud: vol 2, Appropriations by Economic Classification p. 33 &amp; 3</t>
        </r>
      </text>
    </comment>
    <comment ref="H9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2018 bud: vol 2, Appropriations by Economic Classification p. 32 &amp; 3</t>
        </r>
      </text>
    </comment>
    <comment ref="I9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2019 bud: vol 2, Appropriations by Economic Classification p. 32</t>
        </r>
      </text>
    </comment>
    <comment ref="J9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2020 bud: vol 2, Appropriations by Economic Classification p. 32</t>
        </r>
      </text>
    </comment>
    <comment ref="K9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bud: vol 2, Appropriations by Economic Classification p. 3 &amp; 35</t>
        </r>
      </text>
    </comment>
    <comment ref="L9" authorId="1" shapeId="0" xr:uid="{8FF34495-EEB4-45C7-BEE0-B58F44BF137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2022 bud: vol 2, Appropriations by Economic Classification p. 3 &amp; 37</t>
        </r>
      </text>
    </comment>
    <comment ref="C10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2015 bud: vol 2, Appropriations by Economic Classification p. 32</t>
        </r>
      </text>
    </comment>
    <comment ref="D10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2016 bud: vol 2, Appropriations by Economic Classification p. 34 &amp; 3</t>
        </r>
      </text>
    </comment>
    <comment ref="E10" authorId="0" shapeId="0" xr:uid="{00000000-0006-0000-0000-00001C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2017 bud: vol 2, Appropriations by Economic Classification p. 33 &amp; 3</t>
        </r>
      </text>
    </comment>
    <comment ref="F10" authorId="0" shapeId="0" xr:uid="{00000000-0006-0000-0000-00001D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2018 bud: vol 2, Appropriations by Economic Classification p. 32 </t>
        </r>
      </text>
    </comment>
    <comment ref="G10" authorId="0" shapeId="0" xr:uid="{00000000-0006-0000-0000-00001E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2019 bud: vol 2, Appropriations by Economic Classification p. 32</t>
        </r>
      </text>
    </comment>
    <comment ref="H10" authorId="0" shapeId="0" xr:uid="{00000000-0006-0000-0000-00001F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2020 bud: vol 2, Appropriations by Economic Classification p. 32</t>
        </r>
      </text>
    </comment>
    <comment ref="I10" authorId="0" shapeId="0" xr:uid="{00000000-0006-0000-0000-000020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bud: vol 2, Appropriations by Economic Classification p. 35</t>
        </r>
      </text>
    </comment>
    <comment ref="J10" authorId="1" shapeId="0" xr:uid="{A974D92C-A2E9-4EB3-8C7C-BA8C17C7D9D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2022 bud: vol 2, Appropriations by Economic Classification p. 37</t>
        </r>
      </text>
    </comment>
    <comment ref="J11" authorId="0" shapeId="0" xr:uid="{00000000-0006-0000-0000-00002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2020 bud: vol 2, Appropriations by Economic Classification p. 32</t>
        </r>
      </text>
    </comment>
    <comment ref="K11" authorId="0" shapeId="0" xr:uid="{00000000-0006-0000-0000-000022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bud: vol 2, Appropriations by Economic Classification p. 3 &amp; 36</t>
        </r>
      </text>
    </comment>
    <comment ref="L11" authorId="1" shapeId="0" xr:uid="{B6FDE07C-722B-4A92-BB6C-38E966BF628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2022 bud: vol 2, Appropriations by Economic Classification p.  37</t>
        </r>
      </text>
    </comment>
    <comment ref="C14" authorId="0" shapeId="0" xr:uid="{00000000-0006-0000-0000-00002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2013 bud: vol 2, Appropriations by Economic Classification, p. 4.</t>
        </r>
      </text>
    </comment>
    <comment ref="D14" authorId="0" shapeId="0" xr:uid="{00000000-0006-0000-0000-000024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2014 bud: vol 3, Program Budget Narrative, p. 40</t>
        </r>
      </text>
    </comment>
    <comment ref="E14" authorId="0" shapeId="0" xr:uid="{00000000-0006-0000-0000-000025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2015 bud: vol 2, Appropriations by Economic Classification p. 34</t>
        </r>
      </text>
    </comment>
    <comment ref="F14" authorId="0" shapeId="0" xr:uid="{00000000-0006-0000-0000-000026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2016 bud: vol 2, Appropriations by Economic Classification p. 36 &amp; 4</t>
        </r>
      </text>
    </comment>
    <comment ref="G14" authorId="0" shapeId="0" xr:uid="{00000000-0006-0000-0000-000027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2017 bud: vol 2, Appropriations by Economic Classification p. 34 &amp; 4</t>
        </r>
      </text>
    </comment>
    <comment ref="H14" authorId="0" shapeId="0" xr:uid="{00000000-0006-0000-0000-000028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2018 bud: vol 2, Appropriations by Economic Classification p. 172</t>
        </r>
      </text>
    </comment>
    <comment ref="I14" authorId="0" shapeId="0" xr:uid="{00000000-0006-0000-0000-000029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2019 bud: vol 2, Appropriations by Economic Classification p. 34 &amp; 3</t>
        </r>
      </text>
    </comment>
    <comment ref="J14" authorId="0" shapeId="0" xr:uid="{00000000-0006-0000-0000-00002A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2020 bud: vol 2, Appropriations by Economic Classification p. 3 &amp; 34</t>
        </r>
      </text>
    </comment>
    <comment ref="K14" authorId="0" shapeId="0" xr:uid="{00000000-0006-0000-0000-00002B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bud: vol 2, Appropriations by Economic Classification p. 3 &amp; 36</t>
        </r>
      </text>
    </comment>
    <comment ref="L14" authorId="1" shapeId="0" xr:uid="{57351C85-2624-4F30-9786-25AADBDE104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2022 bud: vol 2, Appropriations by Economic Classification p. 4 &amp; 39</t>
        </r>
      </text>
    </comment>
    <comment ref="C15" authorId="0" shapeId="0" xr:uid="{00000000-0006-0000-0000-00002C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2015 bud: vol 2, Appropriations by Economic Classification p. 34</t>
        </r>
      </text>
    </comment>
    <comment ref="D15" authorId="0" shapeId="0" xr:uid="{00000000-0006-0000-0000-00002D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2016 bud: vol 2, Appropriations by Economic Classification p. 36 &amp; 4</t>
        </r>
      </text>
    </comment>
    <comment ref="E15" authorId="0" shapeId="0" xr:uid="{00000000-0006-0000-0000-00002E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2017 bud: vol 2, Appropriations by Economic Classification p. 34 &amp; 4</t>
        </r>
      </text>
    </comment>
    <comment ref="F15" authorId="0" shapeId="0" xr:uid="{00000000-0006-0000-0000-00002F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2018 bud: vol 2, Appropriations by Economic Classification p. 33</t>
        </r>
      </text>
    </comment>
    <comment ref="G15" authorId="0" shapeId="0" xr:uid="{00000000-0006-0000-0000-000030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2019 bud: vol 2, Appropriations by Economic Classification p. 34</t>
        </r>
      </text>
    </comment>
    <comment ref="H15" authorId="0" shapeId="0" xr:uid="{00000000-0006-0000-0000-00003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2020 bud: vol 2, Appropriations by Economic Classification p. 34</t>
        </r>
      </text>
    </comment>
    <comment ref="I15" authorId="0" shapeId="0" xr:uid="{00000000-0006-0000-0000-000032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bud: vol 2, Appropriations by Economic Classification p. 36</t>
        </r>
      </text>
    </comment>
    <comment ref="J15" authorId="1" shapeId="0" xr:uid="{E5687943-308E-43FE-932C-358260EE933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2022 bud: vol 2, Appropriations by Economic Classification p. 39</t>
        </r>
      </text>
    </comment>
    <comment ref="C19" authorId="0" shapeId="0" xr:uid="{00000000-0006-0000-0000-00003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2013 bud: vol 2, Appropriations by Economic Classification, p. 31.</t>
        </r>
      </text>
    </comment>
    <comment ref="E19" authorId="0" shapeId="0" xr:uid="{00000000-0006-0000-0000-000034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2015 bud: vol 2, Appropriations by Economic Classification p. 37</t>
        </r>
      </text>
    </comment>
    <comment ref="F19" authorId="0" shapeId="0" xr:uid="{00000000-0006-0000-0000-000035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2016 bud: vol 2, Appropriations by Economic Classification p. 39</t>
        </r>
      </text>
    </comment>
    <comment ref="G19" authorId="0" shapeId="0" xr:uid="{00000000-0006-0000-0000-000036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2017 bud: vol 2, Appropriations by Economic Classification p. 38</t>
        </r>
      </text>
    </comment>
    <comment ref="H19" authorId="0" shapeId="0" xr:uid="{00000000-0006-0000-0000-000037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2018 bud: vol 2, Appropriations by Economic Classification p. 36</t>
        </r>
      </text>
    </comment>
    <comment ref="I19" authorId="0" shapeId="0" xr:uid="{00000000-0006-0000-0000-000038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2019 bud: vol 2, Appropriations by Economic Classification p. 38</t>
        </r>
      </text>
    </comment>
    <comment ref="J19" authorId="0" shapeId="0" xr:uid="{00000000-0006-0000-0000-000039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2020 bud: vol 2, Appropriations by Economic Classification p. 38</t>
        </r>
      </text>
    </comment>
    <comment ref="K19" authorId="0" shapeId="0" xr:uid="{00000000-0006-0000-0000-00003A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bud: vol 2, Appropriations by Economic Classification p. 41</t>
        </r>
      </text>
    </comment>
    <comment ref="L19" authorId="1" shapeId="0" xr:uid="{EE6B636E-7B8E-4019-BFF5-629017ECA7A2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2022 bud: vol 2, Appropriations by Economic Classification p. 44</t>
        </r>
      </text>
    </comment>
    <comment ref="C20" authorId="0" shapeId="0" xr:uid="{00000000-0006-0000-0000-00003B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2015 bud: vol 2, Appropriations by Economic Classification p. 37</t>
        </r>
      </text>
    </comment>
    <comment ref="D20" authorId="0" shapeId="0" xr:uid="{00000000-0006-0000-0000-00003C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2016 bud: vol 2, Appropriations by Economic Classification p. 39</t>
        </r>
      </text>
    </comment>
    <comment ref="E20" authorId="0" shapeId="0" xr:uid="{00000000-0006-0000-0000-00003D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2017 bud: vol 2, Appropriations by Economic Classification p. 38</t>
        </r>
      </text>
    </comment>
    <comment ref="F20" authorId="0" shapeId="0" xr:uid="{00000000-0006-0000-0000-00003E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2018 bud: vol 2, Appropriations by Economic Classification p. 36</t>
        </r>
      </text>
    </comment>
    <comment ref="G20" authorId="0" shapeId="0" xr:uid="{00000000-0006-0000-0000-00003F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2019 bud: vol 2, Appropriations by Economic Classification p. 38</t>
        </r>
      </text>
    </comment>
    <comment ref="H20" authorId="0" shapeId="0" xr:uid="{00000000-0006-0000-0000-000040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2020 bud: vol 2, Appropriations by Economic Classification p. 38</t>
        </r>
      </text>
    </comment>
    <comment ref="I20" authorId="0" shapeId="0" xr:uid="{00000000-0006-0000-0000-00004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bud: vol 2, Appropriations by Economic Classification p. 41</t>
        </r>
      </text>
    </comment>
    <comment ref="J20" authorId="1" shapeId="0" xr:uid="{A4A7C9BB-2FC6-45CF-9244-2E529B5A1DC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2022 bud: vol 2, Appropriations by Economic Classification p. 44</t>
        </r>
      </text>
    </comment>
    <comment ref="C24" authorId="0" shapeId="0" xr:uid="{00000000-0006-0000-0000-000042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2013 bud: vol 2, Appropriations by Economic Classification, p. 14 &amp; 82.</t>
        </r>
      </text>
    </comment>
    <comment ref="D24" authorId="0" shapeId="0" xr:uid="{00000000-0006-0000-0000-00004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2014 bud: vol 2, Appropriations by Economic Classification, p. 12</t>
        </r>
      </text>
    </comment>
    <comment ref="E24" authorId="0" shapeId="0" xr:uid="{00000000-0006-0000-0000-000044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2015 bud: vol 2, Appropriations by Economic Classification p. 135</t>
        </r>
      </text>
    </comment>
    <comment ref="F24" authorId="0" shapeId="0" xr:uid="{00000000-0006-0000-0000-000045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2016 bud: vol 2, Appropriations by Economic Classification p. 12 &amp; 140. </t>
        </r>
      </text>
    </comment>
    <comment ref="G24" authorId="0" shapeId="0" xr:uid="{00000000-0006-0000-0000-000046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2017 bud: vol 2, Appropriations by Economic Classification p. 11 &amp; 150</t>
        </r>
      </text>
    </comment>
    <comment ref="H24" authorId="0" shapeId="0" xr:uid="{00000000-0006-0000-0000-000047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2018 bud: vol 2, Appropriations by Economic Classification p. 12 &amp; 146</t>
        </r>
      </text>
    </comment>
    <comment ref="I24" authorId="0" shapeId="0" xr:uid="{00000000-0006-0000-0000-000048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2019 bud: vol 2, Appropriations by Economic Classification p. 11 &amp; 148</t>
        </r>
      </text>
    </comment>
    <comment ref="J24" authorId="0" shapeId="0" xr:uid="{00000000-0006-0000-0000-000049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2020 bud: vol 2, Appropriations by Economic Classification p. 12. Grant &amp; aid 145,102,078, p. 11</t>
        </r>
      </text>
    </comment>
    <comment ref="K24" authorId="0" shapeId="0" xr:uid="{00000000-0006-0000-0000-00004A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bud: vol 2, Appropriations by Economic Classification p. 14 &amp; 232</t>
        </r>
      </text>
    </comment>
    <comment ref="L24" authorId="1" shapeId="0" xr:uid="{459EC140-C9ED-4BA0-9A21-359996CFA2D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2022 bud: vol 2, Appropriations by Economic Classification p. 266</t>
        </r>
      </text>
    </comment>
    <comment ref="C25" authorId="0" shapeId="0" xr:uid="{00000000-0006-0000-0000-00004C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2015 bud: vol 2, Appropriations by Economic Classification p. 135</t>
        </r>
      </text>
    </comment>
    <comment ref="D25" authorId="0" shapeId="0" xr:uid="{00000000-0006-0000-0000-00004D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2016 bud: vol 2, Appropriations by Economic Classification p.  140</t>
        </r>
      </text>
    </comment>
    <comment ref="E25" authorId="0" shapeId="0" xr:uid="{00000000-0006-0000-0000-00004E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2017 bud: vol 2, Appropriations by Economic Classification p.  150</t>
        </r>
      </text>
    </comment>
    <comment ref="F25" authorId="0" shapeId="0" xr:uid="{00000000-0006-0000-0000-00004F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2018 bud: vol 2, Appropriations by Economic Classification p. 146</t>
        </r>
      </text>
    </comment>
    <comment ref="G25" authorId="0" shapeId="0" xr:uid="{00000000-0006-0000-0000-000050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2019 bud: vol 2, Appropriations by Economic Classification p.  148</t>
        </r>
      </text>
    </comment>
    <comment ref="H25" authorId="0" shapeId="0" xr:uid="{00000000-0006-0000-0000-00005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2020 bud: vol 2, Appropriations by Economic Classification p. 150.</t>
        </r>
      </text>
    </comment>
    <comment ref="I25" authorId="0" shapeId="0" xr:uid="{00000000-0006-0000-0000-000052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bud: vol 2, Appropriations by Economic Classification p. 232</t>
        </r>
      </text>
    </comment>
    <comment ref="J25" authorId="1" shapeId="0" xr:uid="{98B6EFBE-03EB-4193-B952-6502FBD339F2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2022 bud: vol 2, Appropriations by Economic Classification p. 266</t>
        </r>
      </text>
    </comment>
    <comment ref="C29" authorId="0" shapeId="0" xr:uid="{00000000-0006-0000-0000-00005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2013 bud: vol 2,Appropriations by Economic Classification, p. 13.</t>
        </r>
      </text>
    </comment>
    <comment ref="D29" authorId="0" shapeId="0" xr:uid="{00000000-0006-0000-0000-000054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2014 bud: vol 2, Appropriations by Economic Classification, p. 5 &amp; p. 11</t>
        </r>
      </text>
    </comment>
    <comment ref="E29" authorId="0" shapeId="0" xr:uid="{00000000-0006-0000-0000-000055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2015 bud: vol 2, Appropriations by Economic Classification p. 47 &amp;133</t>
        </r>
      </text>
    </comment>
    <comment ref="F29" authorId="0" shapeId="0" xr:uid="{00000000-0006-0000-0000-000056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2016 bud: vol 2, Appropriations by Economic Classification p. 5, 12 &amp; 140. 419,854,193 cash in kind, p. 5.</t>
        </r>
      </text>
    </comment>
    <comment ref="G29" authorId="0" shapeId="0" xr:uid="{00000000-0006-0000-0000-000057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2017 bud: vol 2, Appropriations by Economic Classification p. 11 &amp; 147</t>
        </r>
      </text>
    </comment>
    <comment ref="H29" authorId="0" shapeId="0" xr:uid="{00000000-0006-0000-0000-000058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2018 bud: vol 2, Appropriations by Economic Classification p. 11&amp; 143</t>
        </r>
      </text>
    </comment>
    <comment ref="I29" authorId="0" shapeId="0" xr:uid="{00000000-0006-0000-0000-000059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2019 bud: vol 2, Appropriations by Economic Classification p.  145 &amp; 11</t>
        </r>
      </text>
    </comment>
    <comment ref="J29" authorId="0" shapeId="0" xr:uid="{00000000-0006-0000-0000-00005A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2020 bud: vol 2, Appropriations by Economic Classification p. 11</t>
        </r>
      </text>
    </comment>
    <comment ref="K29" authorId="0" shapeId="0" xr:uid="{00000000-0006-0000-0000-00005B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bud: vol 2, Appropriations by Economic Classification p. 14 &amp; 229</t>
        </r>
      </text>
    </comment>
    <comment ref="L29" authorId="1" shapeId="0" xr:uid="{839A084D-EA49-4DD1-81FD-335F7049FED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2022 bud: vol 2, Appropriations by Economic Classification p.15 &amp; 263</t>
        </r>
      </text>
    </comment>
    <comment ref="C30" authorId="0" shapeId="0" xr:uid="{00000000-0006-0000-0000-00005C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2015 bud: vol 2, Appropriations by Economic Classification p. 41 &amp; 133
</t>
        </r>
      </text>
    </comment>
    <comment ref="D30" authorId="0" shapeId="0" xr:uid="{00000000-0006-0000-0000-00005D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2016 bud: vol 2, Appropriations by Economic Classification p. 48 &amp; 137</t>
        </r>
      </text>
    </comment>
    <comment ref="E30" authorId="0" shapeId="0" xr:uid="{00000000-0006-0000-0000-00005E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2017 bud: vol 2, Appropriations by Economic Classification p.  147 &amp;154</t>
        </r>
      </text>
    </comment>
    <comment ref="F30" authorId="1" shapeId="0" xr:uid="{23DE0F42-FCE2-4BBD-A858-F2DCEEDA0BF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2018 bud: vol 2, Appropriations by Economic Classification p. 11&amp; 143 &amp;150</t>
        </r>
      </text>
    </comment>
    <comment ref="G30" authorId="0" shapeId="0" xr:uid="{00000000-0006-0000-0000-00005F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2019 bud: vol 2, Appropriations by Economic Classification p.  145 &amp;149</t>
        </r>
      </text>
    </comment>
    <comment ref="H30" authorId="0" shapeId="0" xr:uid="{00000000-0006-0000-0000-000060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2020 bud: vol 2, Appropriations by Economic Classification p. 146.</t>
        </r>
      </text>
    </comment>
    <comment ref="I30" authorId="0" shapeId="0" xr:uid="{00000000-0006-0000-0000-00006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bud: vol 2, Appropriations by Economic Classification p.  229</t>
        </r>
      </text>
    </comment>
    <comment ref="J30" authorId="1" shapeId="0" xr:uid="{A80CB743-D0EB-4463-9E2E-97A3B96D96A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2022 bud: vol 2, Appropriations by Economic Classification p. 266</t>
        </r>
      </text>
    </comment>
    <comment ref="K31" authorId="0" shapeId="0" xr:uid="{00000000-0006-0000-0000-000062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bud: vol 2, Appropriations by Economic Classification p. 14 &amp; 229</t>
        </r>
      </text>
    </comment>
    <comment ref="L31" authorId="1" shapeId="0" xr:uid="{F482F489-EA20-4CFC-B9F6-C1EFB14EBA8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2022 bud: vol 2, Appropriations by Economic Classification p. 266</t>
        </r>
      </text>
    </comment>
    <comment ref="C34" authorId="0" shapeId="0" xr:uid="{00000000-0006-0000-0000-000069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2014 bud: vol 2, Appropriations by Economic Classification, p. 22</t>
        </r>
      </text>
    </comment>
    <comment ref="H34" authorId="0" shapeId="0" xr:uid="{00000000-0006-0000-0000-00006A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2018 bud: vol 1, p. 23</t>
        </r>
      </text>
    </comment>
    <comment ref="J34" authorId="0" shapeId="0" xr:uid="{00000000-0006-0000-0000-00006B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2020 bud: vol 1-2, p. 25</t>
        </r>
      </text>
    </comment>
    <comment ref="L34" authorId="1" shapeId="0" xr:uid="{F7D2FBA6-3356-4C21-AAC1-08AFC8592A8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2022 bud: vol 1, Fiscal Strategy Report p. 1</t>
        </r>
      </text>
    </comment>
    <comment ref="C35" authorId="0" shapeId="0" xr:uid="{00000000-0006-0000-0000-00006E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2013 bud: vol 2, p. 16 &amp; 90</t>
        </r>
      </text>
    </comment>
    <comment ref="E35" authorId="0" shapeId="0" xr:uid="{00000000-0006-0000-0000-00006F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2015 bud: vol 2, p. 15</t>
        </r>
      </text>
    </comment>
    <comment ref="F35" authorId="0" shapeId="0" xr:uid="{00000000-0006-0000-0000-000070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2016 bud: vol 2, p. 15 &amp; 161</t>
        </r>
      </text>
    </comment>
    <comment ref="G35" authorId="0" shapeId="0" xr:uid="{00000000-0006-0000-0000-00007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2017 bud: vol 2, Appropriations by Economic Classification p. 177</t>
        </r>
      </text>
    </comment>
    <comment ref="H35" authorId="0" shapeId="0" xr:uid="{00000000-0006-0000-0000-000072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2018 bud: vol 2, Appropriations by Economic Classification p. 14 &amp; 172</t>
        </r>
      </text>
    </comment>
    <comment ref="I35" authorId="0" shapeId="0" xr:uid="{00000000-0006-0000-0000-00007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2019 bud: vol 2, Appropriations by Economic Classification p.14 &amp; 172</t>
        </r>
      </text>
    </comment>
    <comment ref="J35" authorId="0" shapeId="0" xr:uid="{00000000-0006-0000-0000-000074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2020 bud: vol 2, Appropriations by Economic Classification p. 172</t>
        </r>
      </text>
    </comment>
    <comment ref="K35" authorId="0" shapeId="0" xr:uid="{00000000-0006-0000-0000-000075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bud: vol 2, Appropriations by Economic Classification p. 17 &amp; 256</t>
        </r>
      </text>
    </comment>
    <comment ref="L35" authorId="1" shapeId="0" xr:uid="{E4533DE5-53DE-40D5-965E-640699F15DE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2022 bud: vol 2, Appropriations by Economic Classification p. 293</t>
        </r>
      </text>
    </comment>
    <comment ref="D36" authorId="0" shapeId="0" xr:uid="{00000000-0006-0000-0000-000076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2014 bud: Vol 2, p. 14</t>
        </r>
      </text>
    </comment>
    <comment ref="E36" authorId="0" shapeId="0" xr:uid="{00000000-0006-0000-0000-000077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2015 bud: vol 2, p. 15</t>
        </r>
      </text>
    </comment>
    <comment ref="F36" authorId="0" shapeId="0" xr:uid="{00000000-0006-0000-0000-000078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2016 bud: vol 2, p. 15 &amp; 161</t>
        </r>
      </text>
    </comment>
    <comment ref="G36" authorId="0" shapeId="0" xr:uid="{00000000-0006-0000-0000-000079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2017 bud: vol 2, Appropriations by Economic Classification p. 177</t>
        </r>
      </text>
    </comment>
    <comment ref="H36" authorId="0" shapeId="0" xr:uid="{00000000-0006-0000-0000-00007A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2018 bud: vol 2, Appropriations by Economic Classification p. 14 &amp; 172</t>
        </r>
      </text>
    </comment>
    <comment ref="I36" authorId="0" shapeId="0" xr:uid="{00000000-0006-0000-0000-00007B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2019 bud: vol 2, Appropriations by Economic Classification p.14 &amp; 172</t>
        </r>
      </text>
    </comment>
    <comment ref="J36" authorId="0" shapeId="0" xr:uid="{00000000-0006-0000-0000-00007C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2020 bud: vol 2, Appropriations by Economic Classification p. 172</t>
        </r>
      </text>
    </comment>
    <comment ref="K36" authorId="0" shapeId="0" xr:uid="{00000000-0006-0000-0000-00007D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bud: vol 2, Appropriations by Economic Classification p. 17 &amp; 256</t>
        </r>
      </text>
    </comment>
    <comment ref="L36" authorId="1" shapeId="0" xr:uid="{B93F3103-741F-4117-B2AD-68E8ADE15B0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2022 bud: vol 2, Appropriations by Economic Classification p. 293</t>
        </r>
      </text>
    </comment>
    <comment ref="C37" authorId="0" shapeId="0" xr:uid="{00000000-0006-0000-0000-00007E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2015 bud: vol 2, p. 15 &amp; 152</t>
        </r>
      </text>
    </comment>
    <comment ref="D37" authorId="0" shapeId="0" xr:uid="{00000000-0006-0000-0000-00007F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2016 bud: vol 2, p. 161</t>
        </r>
      </text>
    </comment>
    <comment ref="E37" authorId="0" shapeId="0" xr:uid="{00000000-0006-0000-0000-000080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2017 bud: vol 2, Appropriations by Economic Classification p. 177</t>
        </r>
      </text>
    </comment>
    <comment ref="F37" authorId="0" shapeId="0" xr:uid="{00000000-0006-0000-0000-00008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2018 bud: vol 2, Appropriations by Economic Classification p.  172</t>
        </r>
      </text>
    </comment>
    <comment ref="G37" authorId="0" shapeId="0" xr:uid="{00000000-0006-0000-0000-000082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2019 bud: vol 2, Appropriations by Economic Classification p. 172</t>
        </r>
      </text>
    </comment>
    <comment ref="H37" authorId="0" shapeId="0" xr:uid="{00000000-0006-0000-0000-000083000000}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2020 bud: vol 2, Appropriations by Economic Classification p. 172</t>
        </r>
      </text>
    </comment>
    <comment ref="I37" authorId="0" shapeId="0" xr:uid="{00000000-0006-0000-0000-000084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bud: vol 2, Appropriations by Economic Classification p.  256</t>
        </r>
      </text>
    </comment>
    <comment ref="J37" authorId="1" shapeId="0" xr:uid="{888B4C15-8A0C-48C7-9788-5C632B33F7A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2022 bud: vol 2, Appropriations by Economic Classification p. 293</t>
        </r>
      </text>
    </comment>
  </commentList>
</comments>
</file>

<file path=xl/sharedStrings.xml><?xml version="1.0" encoding="utf-8"?>
<sst xmlns="http://schemas.openxmlformats.org/spreadsheetml/2006/main" count="85" uniqueCount="45">
  <si>
    <t>Ombudsman Commission</t>
  </si>
  <si>
    <t>National Audit Office</t>
  </si>
  <si>
    <t>Public Prosecutor</t>
  </si>
  <si>
    <t>Currency: Vanuatu vatu (VT)</t>
  </si>
  <si>
    <t>Budget</t>
  </si>
  <si>
    <t>Actual</t>
  </si>
  <si>
    <t>Actual spending</t>
  </si>
  <si>
    <t>Police Service Commission</t>
  </si>
  <si>
    <t>In millions of Vatu</t>
  </si>
  <si>
    <t>CPI Deflator value (Inflation, average consumer prices index)</t>
  </si>
  <si>
    <t>Deflator value for 2020 price calculation</t>
  </si>
  <si>
    <t>Data from database: Worldwide Governance Indicators</t>
  </si>
  <si>
    <t>Cash Grants &amp; Aid
in Kind (with in the Cabinet support)</t>
  </si>
  <si>
    <t>Cash Grants &amp; Aid 
in Kind (Joint Command and Control)</t>
  </si>
  <si>
    <t>Budgeted</t>
  </si>
  <si>
    <t>FIU</t>
  </si>
  <si>
    <t>Internal Security and Border Control (Police Service)</t>
  </si>
  <si>
    <t>Government Appropriation (excluding donor financing)</t>
  </si>
  <si>
    <t>Total Police Service - Internal Security and Border Control and Police Service Commission (2021 Real prices)</t>
  </si>
  <si>
    <t>Police Service - Internal Security and Border Control (2021 Real prices)</t>
  </si>
  <si>
    <t>Police Service Commission (2021 Real prices)</t>
  </si>
  <si>
    <t>Public Prosecutor (2021 Real prices)</t>
  </si>
  <si>
    <t>National Audit Office (2021 Real prices)</t>
  </si>
  <si>
    <t>https://www.transparency.org/en/cpi/2021</t>
  </si>
  <si>
    <t>Cash Grants &amp; Aid in Kind</t>
  </si>
  <si>
    <t>Office of the Ombudsman</t>
  </si>
  <si>
    <t>Office of the Ombudsman (2021 Real prices)</t>
  </si>
  <si>
    <t>Grant Walton &amp; Husnia Hushang</t>
  </si>
  <si>
    <t>Financial intelligence Unit (FIU)</t>
  </si>
  <si>
    <t>Total Anti-corruption Budget and Spending: Office of the Ombudsman/ National Audit Office/ FIU (2021 Real prices)</t>
  </si>
  <si>
    <t>Actual Spending - Office of the Ombudsman/National Audit Office/FIU (2021 Real prices)</t>
  </si>
  <si>
    <t>Anti-corruption Budget and Spending as Proportion of National Budget (Only Government 
Appropriation) (Excluded Cash Grants, Aid 
in Kind &amp; External Loan)</t>
  </si>
  <si>
    <t xml:space="preserve">Total Parliamentary Appropriation including Cash Grants, Aid 
in Kind &amp; Funded by External Loan </t>
  </si>
  <si>
    <t>Total National budget (Government
Appropriation)</t>
  </si>
  <si>
    <t xml:space="preserve">Recurrent Government expense
</t>
  </si>
  <si>
    <t xml:space="preserve">https://www.imf.org/en/Publications/WEO/weo-database/2022/April/weo-report?c=846,&amp;s=PCPI,PCPIPCH,PCPIE,PCPIEPCH,&amp;sy=2013&amp;ey=2027&amp;ssm=0&amp;scsm=1&amp;scc=0&amp;ssd=1&amp;ssc=0&amp;sic=0&amp;sort=country&amp;ds=.&amp;br=1 </t>
  </si>
  <si>
    <t xml:space="preserve"> Note: We are excluding cash grant and aid in kind. </t>
  </si>
  <si>
    <t>First budget of new government</t>
  </si>
  <si>
    <t>Control of corruption (left hand)</t>
  </si>
  <si>
    <t>Corruption perceptions index (right hand)</t>
  </si>
  <si>
    <t>National Budget (Government 
Appropriation) (Excluded Grants, Aid In Kind &amp; External Loans) (2021 Real prices)</t>
  </si>
  <si>
    <t xml:space="preserve"> 2022 WEO databace report: Base year is 2001</t>
  </si>
  <si>
    <t xml:space="preserve"> We have not included this grant and aid budget in the graphs.</t>
  </si>
  <si>
    <t>Financial Intelligence Unit (2021 Real prices)</t>
  </si>
  <si>
    <t>Control of Corruption Versus Corruption perceptions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</si>
</sst>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0.0"/>
    <numFmt numFmtId="166" formatCode="#,##0.00;[Red]#,##0.00"/>
    <numFmt numFmtId="167" formatCode="#,##0.000"/>
    <numFmt numFmtId="168" formatCode="0.000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2"/>
      <color rgb="FF595959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89">
    <xf numFmtId="0" fontId="0" fillId="0" borderId="0" xfId="0"/>
    <xf numFmtId="0" fontId="0" fillId="2" borderId="0" xfId="0" applyFill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1" fillId="0" borderId="0" xfId="0" applyFont="1"/>
    <xf numFmtId="0" fontId="0" fillId="0" borderId="1" xfId="0" applyBorder="1" applyAlignment="1">
      <alignment wrapText="1"/>
    </xf>
    <xf numFmtId="4" fontId="0" fillId="0" borderId="1" xfId="0" applyNumberFormat="1" applyBorder="1"/>
    <xf numFmtId="0" fontId="0" fillId="7" borderId="1" xfId="0" applyFill="1" applyBorder="1"/>
    <xf numFmtId="0" fontId="0" fillId="8" borderId="1" xfId="0" applyFill="1" applyBorder="1"/>
    <xf numFmtId="3" fontId="0" fillId="0" borderId="0" xfId="0" applyNumberFormat="1"/>
    <xf numFmtId="0" fontId="0" fillId="9" borderId="1" xfId="0" applyFill="1" applyBorder="1"/>
    <xf numFmtId="4" fontId="0" fillId="0" borderId="0" xfId="0" applyNumberFormat="1"/>
    <xf numFmtId="4" fontId="0" fillId="4" borderId="1" xfId="0" applyNumberFormat="1" applyFill="1" applyBorder="1"/>
    <xf numFmtId="4" fontId="0" fillId="3" borderId="1" xfId="0" applyNumberFormat="1" applyFill="1" applyBorder="1"/>
    <xf numFmtId="4" fontId="0" fillId="5" borderId="1" xfId="0" applyNumberFormat="1" applyFill="1" applyBorder="1"/>
    <xf numFmtId="4" fontId="0" fillId="7" borderId="1" xfId="0" applyNumberFormat="1" applyFill="1" applyBorder="1"/>
    <xf numFmtId="4" fontId="0" fillId="8" borderId="1" xfId="0" applyNumberFormat="1" applyFill="1" applyBorder="1"/>
    <xf numFmtId="0" fontId="5" fillId="0" borderId="0" xfId="0" applyFont="1"/>
    <xf numFmtId="0" fontId="5" fillId="2" borderId="1" xfId="0" applyFont="1" applyFill="1" applyBorder="1"/>
    <xf numFmtId="0" fontId="0" fillId="2" borderId="1" xfId="0" applyFill="1" applyBorder="1"/>
    <xf numFmtId="0" fontId="6" fillId="2" borderId="1" xfId="0" applyFont="1" applyFill="1" applyBorder="1"/>
    <xf numFmtId="0" fontId="7" fillId="0" borderId="0" xfId="1"/>
    <xf numFmtId="4" fontId="0" fillId="7" borderId="0" xfId="0" applyNumberFormat="1" applyFill="1"/>
    <xf numFmtId="4" fontId="0" fillId="3" borderId="0" xfId="0" applyNumberFormat="1" applyFill="1"/>
    <xf numFmtId="0" fontId="4" fillId="0" borderId="0" xfId="0" applyFont="1"/>
    <xf numFmtId="2" fontId="0" fillId="9" borderId="1" xfId="0" applyNumberFormat="1" applyFill="1" applyBorder="1"/>
    <xf numFmtId="0" fontId="0" fillId="3" borderId="0" xfId="0" applyFill="1" applyAlignment="1">
      <alignment wrapText="1"/>
    </xf>
    <xf numFmtId="0" fontId="0" fillId="0" borderId="0" xfId="0" applyAlignment="1">
      <alignment wrapText="1"/>
    </xf>
    <xf numFmtId="0" fontId="0" fillId="8" borderId="1" xfId="0" applyFill="1" applyBorder="1" applyAlignment="1">
      <alignment wrapText="1"/>
    </xf>
    <xf numFmtId="165" fontId="0" fillId="6" borderId="1" xfId="0" applyNumberFormat="1" applyFill="1" applyBorder="1"/>
    <xf numFmtId="164" fontId="0" fillId="6" borderId="1" xfId="0" applyNumberFormat="1" applyFill="1" applyBorder="1"/>
    <xf numFmtId="0" fontId="0" fillId="7" borderId="0" xfId="0" applyFill="1" applyAlignment="1">
      <alignment wrapText="1"/>
    </xf>
    <xf numFmtId="0" fontId="5" fillId="8" borderId="1" xfId="0" applyFont="1" applyFill="1" applyBorder="1"/>
    <xf numFmtId="4" fontId="5" fillId="7" borderId="0" xfId="0" applyNumberFormat="1" applyFont="1" applyFill="1"/>
    <xf numFmtId="0" fontId="6" fillId="0" borderId="0" xfId="0" applyFont="1"/>
    <xf numFmtId="16" fontId="0" fillId="0" borderId="0" xfId="0" applyNumberFormat="1"/>
    <xf numFmtId="17" fontId="0" fillId="0" borderId="0" xfId="0" applyNumberFormat="1"/>
    <xf numFmtId="165" fontId="0" fillId="5" borderId="1" xfId="0" applyNumberFormat="1" applyFill="1" applyBorder="1"/>
    <xf numFmtId="4" fontId="6" fillId="7" borderId="0" xfId="0" applyNumberFormat="1" applyFont="1" applyFill="1"/>
    <xf numFmtId="4" fontId="4" fillId="3" borderId="1" xfId="0" applyNumberFormat="1" applyFont="1" applyFill="1" applyBorder="1"/>
    <xf numFmtId="4" fontId="4" fillId="5" borderId="1" xfId="0" applyNumberFormat="1" applyFont="1" applyFill="1" applyBorder="1"/>
    <xf numFmtId="4" fontId="4" fillId="8" borderId="1" xfId="0" applyNumberFormat="1" applyFont="1" applyFill="1" applyBorder="1"/>
    <xf numFmtId="2" fontId="0" fillId="0" borderId="0" xfId="0" applyNumberFormat="1"/>
    <xf numFmtId="0" fontId="0" fillId="2" borderId="2" xfId="0" applyFill="1" applyBorder="1"/>
    <xf numFmtId="0" fontId="5" fillId="4" borderId="1" xfId="0" applyFont="1" applyFill="1" applyBorder="1"/>
    <xf numFmtId="0" fontId="4" fillId="4" borderId="0" xfId="0" applyFont="1" applyFill="1"/>
    <xf numFmtId="0" fontId="5" fillId="3" borderId="1" xfId="0" applyFont="1" applyFill="1" applyBorder="1"/>
    <xf numFmtId="0" fontId="4" fillId="3" borderId="0" xfId="0" applyFont="1" applyFill="1"/>
    <xf numFmtId="0" fontId="5" fillId="5" borderId="1" xfId="0" applyFont="1" applyFill="1" applyBorder="1"/>
    <xf numFmtId="0" fontId="4" fillId="5" borderId="0" xfId="0" applyFont="1" applyFill="1"/>
    <xf numFmtId="0" fontId="5" fillId="7" borderId="1" xfId="0" applyFont="1" applyFill="1" applyBorder="1"/>
    <xf numFmtId="0" fontId="4" fillId="7" borderId="0" xfId="0" applyFont="1" applyFill="1"/>
    <xf numFmtId="0" fontId="4" fillId="8" borderId="0" xfId="0" applyFont="1" applyFill="1"/>
    <xf numFmtId="0" fontId="5" fillId="9" borderId="1" xfId="0" applyFont="1" applyFill="1" applyBorder="1"/>
    <xf numFmtId="0" fontId="4" fillId="9" borderId="0" xfId="0" applyFont="1" applyFill="1"/>
    <xf numFmtId="0" fontId="0" fillId="10" borderId="1" xfId="0" applyFill="1" applyBorder="1"/>
    <xf numFmtId="0" fontId="5" fillId="10" borderId="1" xfId="0" applyFont="1" applyFill="1" applyBorder="1"/>
    <xf numFmtId="166" fontId="0" fillId="10" borderId="1" xfId="0" applyNumberFormat="1" applyFill="1" applyBorder="1"/>
    <xf numFmtId="0" fontId="5" fillId="11" borderId="1" xfId="0" applyFont="1" applyFill="1" applyBorder="1"/>
    <xf numFmtId="0" fontId="4" fillId="11" borderId="1" xfId="0" applyFont="1" applyFill="1" applyBorder="1"/>
    <xf numFmtId="165" fontId="4" fillId="11" borderId="1" xfId="0" applyNumberFormat="1" applyFont="1" applyFill="1" applyBorder="1"/>
    <xf numFmtId="0" fontId="5" fillId="12" borderId="1" xfId="0" applyFont="1" applyFill="1" applyBorder="1"/>
    <xf numFmtId="0" fontId="0" fillId="12" borderId="1" xfId="0" applyFill="1" applyBorder="1"/>
    <xf numFmtId="4" fontId="0" fillId="12" borderId="1" xfId="0" applyNumberFormat="1" applyFill="1" applyBorder="1"/>
    <xf numFmtId="0" fontId="4" fillId="12" borderId="0" xfId="0" applyFont="1" applyFill="1"/>
    <xf numFmtId="0" fontId="5" fillId="13" borderId="1" xfId="0" applyFont="1" applyFill="1" applyBorder="1"/>
    <xf numFmtId="168" fontId="4" fillId="13" borderId="1" xfId="0" applyNumberFormat="1" applyFont="1" applyFill="1" applyBorder="1"/>
    <xf numFmtId="167" fontId="4" fillId="13" borderId="1" xfId="0" applyNumberFormat="1" applyFont="1" applyFill="1" applyBorder="1"/>
    <xf numFmtId="0" fontId="4" fillId="13" borderId="1" xfId="0" applyFont="1" applyFill="1" applyBorder="1"/>
    <xf numFmtId="0" fontId="4" fillId="13" borderId="0" xfId="0" applyFont="1" applyFill="1"/>
    <xf numFmtId="0" fontId="6" fillId="14" borderId="1" xfId="0" applyFont="1" applyFill="1" applyBorder="1"/>
    <xf numFmtId="0" fontId="5" fillId="14" borderId="1" xfId="0" applyFont="1" applyFill="1" applyBorder="1"/>
    <xf numFmtId="4" fontId="0" fillId="14" borderId="1" xfId="0" applyNumberFormat="1" applyFill="1" applyBorder="1"/>
    <xf numFmtId="0" fontId="0" fillId="14" borderId="1" xfId="0" applyFill="1" applyBorder="1"/>
    <xf numFmtId="0" fontId="4" fillId="14" borderId="0" xfId="0" applyFont="1" applyFill="1"/>
    <xf numFmtId="0" fontId="0" fillId="5" borderId="1" xfId="0" applyFill="1" applyBorder="1" applyAlignment="1">
      <alignment wrapText="1"/>
    </xf>
    <xf numFmtId="0" fontId="8" fillId="0" borderId="0" xfId="0" applyFont="1"/>
    <xf numFmtId="0" fontId="9" fillId="0" borderId="0" xfId="0" applyFont="1"/>
    <xf numFmtId="0" fontId="6" fillId="2" borderId="0" xfId="0" applyFont="1" applyFill="1"/>
    <xf numFmtId="0" fontId="0" fillId="6" borderId="1" xfId="0" applyFill="1" applyBorder="1" applyAlignment="1">
      <alignment wrapText="1"/>
    </xf>
    <xf numFmtId="0" fontId="0" fillId="0" borderId="1" xfId="0" applyBorder="1" applyAlignment="1">
      <alignment vertical="top" wrapText="1"/>
    </xf>
    <xf numFmtId="0" fontId="7" fillId="0" borderId="0" xfId="1" applyAlignment="1">
      <alignment wrapText="1"/>
    </xf>
    <xf numFmtId="0" fontId="1" fillId="0" borderId="0" xfId="0" applyFont="1" applyAlignment="1">
      <alignment wrapText="1"/>
    </xf>
    <xf numFmtId="0" fontId="10" fillId="0" borderId="0" xfId="0" applyFont="1" applyAlignment="1">
      <alignment horizontal="center" vertical="center" readingOrder="1"/>
    </xf>
    <xf numFmtId="4" fontId="1" fillId="0" borderId="0" xfId="0" applyNumberFormat="1" applyFont="1"/>
    <xf numFmtId="4" fontId="4" fillId="7" borderId="0" xfId="0" applyNumberFormat="1" applyFont="1" applyFill="1"/>
    <xf numFmtId="0" fontId="5" fillId="2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1200" b="0" i="0" u="none" strike="noStrike" baseline="0">
                <a:effectLst/>
              </a:rPr>
              <a:t>Office of the Ombudsman</a:t>
            </a:r>
            <a:r>
              <a:rPr lang="en-AU" sz="12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 (Excluded Cash Grants, Aid </a:t>
            </a:r>
          </a:p>
          <a:p>
            <a:pPr>
              <a:defRPr/>
            </a:pPr>
            <a:r>
              <a:rPr lang="en-AU" sz="12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in Kind &amp; External Loan)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Sheet1!$B$51</c:f>
              <c:strCache>
                <c:ptCount val="1"/>
                <c:pt idx="0">
                  <c:v>First budget of new government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8FF-41DE-8339-35F4EA2AB7E9}"/>
                </c:ext>
              </c:extLst>
            </c:dLbl>
            <c:dLbl>
              <c:idx val="1"/>
              <c:layout>
                <c:manualLayout>
                  <c:x val="-2.1747479208005533E-17"/>
                  <c:y val="8.2425930241820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900" b="0" i="0" u="none" strike="noStrike" kern="1200" baseline="0"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kern="1200" baseline="0"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</a:rPr>
                      <a:t>Carcasses Kalosil </a:t>
                    </a:r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900" b="0" i="0" u="none" strike="noStrike" kern="1200" baseline="0">
                      <a:solidFill>
                        <a:sysClr val="windowText" lastClr="000000">
                          <a:lumMod val="75000"/>
                          <a:lumOff val="25000"/>
                        </a:sys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68FF-41DE-8339-35F4EA2AB7E9}"/>
                </c:ext>
              </c:extLst>
            </c:dLbl>
            <c:dLbl>
              <c:idx val="2"/>
              <c:layout>
                <c:manualLayout>
                  <c:x val="0"/>
                  <c:y val="0.176091760062070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Joe Natuman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68FF-41DE-8339-35F4EA2AB7E9}"/>
                </c:ext>
              </c:extLst>
            </c:dLbl>
            <c:dLbl>
              <c:idx val="3"/>
              <c:layout>
                <c:manualLayout>
                  <c:x val="0"/>
                  <c:y val="8.9919196627440107E-2"/>
                </c:manualLayout>
              </c:layout>
              <c:tx>
                <c:rich>
                  <a:bodyPr/>
                  <a:lstStyle/>
                  <a:p>
                    <a:r>
                      <a:rPr lang="en-US" sz="900" b="0" i="0" u="none" strike="noStrike" kern="1200" baseline="0"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</a:rPr>
                      <a:t>Charlot Salwai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68FF-41DE-8339-35F4EA2AB7E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8FF-41DE-8339-35F4EA2AB7E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8FF-41DE-8339-35F4EA2AB7E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8FF-41DE-8339-35F4EA2AB7E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8FF-41DE-8339-35F4EA2AB7E9}"/>
                </c:ext>
              </c:extLst>
            </c:dLbl>
            <c:dLbl>
              <c:idx val="8"/>
              <c:layout>
                <c:manualLayout>
                  <c:x val="-7.1174390520243698E-3"/>
                  <c:y val="8.617256343463010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Bob Loughman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68FF-41DE-8339-35F4EA2AB7E9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24A-4AD4-A4BC-A967A57EE0E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Sheet1!$C$48:$L$48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Sheet1!$C$51:$L$51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A2-4048-B4A6-8DCDC42A5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1634585615"/>
        <c:axId val="1634603503"/>
      </c:barChart>
      <c:lineChart>
        <c:grouping val="standard"/>
        <c:varyColors val="0"/>
        <c:ser>
          <c:idx val="0"/>
          <c:order val="0"/>
          <c:tx>
            <c:strRef>
              <c:f>Sheet1!$B$49</c:f>
              <c:strCache>
                <c:ptCount val="1"/>
                <c:pt idx="0">
                  <c:v>Budget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Sheet1!$C$48:$L$48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Sheet1!$C$49:$L$49</c:f>
              <c:numCache>
                <c:formatCode>#,##0.00</c:formatCode>
                <c:ptCount val="10"/>
                <c:pt idx="0">
                  <c:v>50.198294692220841</c:v>
                </c:pt>
                <c:pt idx="1">
                  <c:v>44.368032730750265</c:v>
                </c:pt>
                <c:pt idx="2">
                  <c:v>43.292952370716613</c:v>
                </c:pt>
                <c:pt idx="3">
                  <c:v>42.931439987252901</c:v>
                </c:pt>
                <c:pt idx="4">
                  <c:v>41.64683250871218</c:v>
                </c:pt>
                <c:pt idx="5">
                  <c:v>43.485474934604191</c:v>
                </c:pt>
                <c:pt idx="6">
                  <c:v>78.566839048465397</c:v>
                </c:pt>
                <c:pt idx="7">
                  <c:v>62.206859705707458</c:v>
                </c:pt>
                <c:pt idx="8">
                  <c:v>61.934446999999999</c:v>
                </c:pt>
                <c:pt idx="9">
                  <c:v>66.549999066694667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A2-4048-B4A6-8DCDC42A5406}"/>
            </c:ext>
          </c:extLst>
        </c:ser>
        <c:ser>
          <c:idx val="1"/>
          <c:order val="1"/>
          <c:tx>
            <c:strRef>
              <c:f>Sheet1!$B$50</c:f>
              <c:strCache>
                <c:ptCount val="1"/>
                <c:pt idx="0">
                  <c:v>Actual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Sheet1!$C$48:$L$48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Sheet1!$C$50:$L$50</c:f>
              <c:numCache>
                <c:formatCode>#,##0.00</c:formatCode>
                <c:ptCount val="10"/>
                <c:pt idx="0">
                  <c:v>39.252280745308006</c:v>
                </c:pt>
                <c:pt idx="1">
                  <c:v>42.90069760697429</c:v>
                </c:pt>
                <c:pt idx="2">
                  <c:v>42.682406758563324</c:v>
                </c:pt>
                <c:pt idx="3">
                  <c:v>38.908131755092022</c:v>
                </c:pt>
                <c:pt idx="4">
                  <c:v>40.380082119120516</c:v>
                </c:pt>
                <c:pt idx="5">
                  <c:v>63.334257906119539</c:v>
                </c:pt>
                <c:pt idx="6">
                  <c:v>64.535669925911947</c:v>
                </c:pt>
                <c:pt idx="7">
                  <c:v>74.911358048477609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A2-4048-B4A6-8DCDC42A5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6497087"/>
        <c:axId val="1496495423"/>
      </c:lineChart>
      <c:catAx>
        <c:axId val="14964970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6495423"/>
        <c:crosses val="autoZero"/>
        <c:auto val="1"/>
        <c:lblAlgn val="ctr"/>
        <c:lblOffset val="100"/>
        <c:noMultiLvlLbl val="0"/>
      </c:catAx>
      <c:valAx>
        <c:axId val="14964954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sz="900" b="0" i="0" baseline="0">
                    <a:effectLst/>
                  </a:rPr>
                  <a:t>Millions of Vatu</a:t>
                </a:r>
                <a:endParaRPr lang="en-AU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6.903987460474219E-3"/>
              <c:y val="0.332228715730844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6497087"/>
        <c:crosses val="autoZero"/>
        <c:crossBetween val="between"/>
      </c:valAx>
      <c:valAx>
        <c:axId val="1634603503"/>
        <c:scaling>
          <c:orientation val="minMax"/>
          <c:max val="1.02"/>
          <c:min val="0"/>
        </c:scaling>
        <c:delete val="0"/>
        <c:axPos val="r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4585615"/>
        <c:crosses val="max"/>
        <c:crossBetween val="between"/>
      </c:valAx>
      <c:catAx>
        <c:axId val="163458561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3460350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1200" b="0" i="0" baseline="0">
                <a:effectLst/>
              </a:rPr>
              <a:t>Comparison of Vanuatu’s Control of Corruption and CPI score</a:t>
            </a:r>
            <a:endParaRPr lang="en-AU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Sheet1!$B$101</c:f>
              <c:strCache>
                <c:ptCount val="1"/>
                <c:pt idx="0">
                  <c:v>Control of corruption (left hand)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Sheet1!$C$100:$L$100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Sheet1!$C$101:$L$101</c:f>
              <c:numCache>
                <c:formatCode>0.0</c:formatCode>
                <c:ptCount val="10"/>
                <c:pt idx="0">
                  <c:v>64.454978942870994</c:v>
                </c:pt>
                <c:pt idx="1">
                  <c:v>68.269233703613295</c:v>
                </c:pt>
                <c:pt idx="2">
                  <c:v>54.3269233703613</c:v>
                </c:pt>
                <c:pt idx="3">
                  <c:v>55.288459777832003</c:v>
                </c:pt>
                <c:pt idx="4">
                  <c:v>57.211540222167997</c:v>
                </c:pt>
                <c:pt idx="5">
                  <c:v>50.961540222167997</c:v>
                </c:pt>
                <c:pt idx="6">
                  <c:v>48.0769233703613</c:v>
                </c:pt>
                <c:pt idx="7">
                  <c:v>48.557693481445298</c:v>
                </c:pt>
                <c:pt idx="8">
                  <c:v>54.807693481445298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BF-44FC-96E0-96B6DB0C30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590704"/>
        <c:axId val="763591536"/>
      </c:lineChart>
      <c:lineChart>
        <c:grouping val="standard"/>
        <c:varyColors val="0"/>
        <c:ser>
          <c:idx val="1"/>
          <c:order val="1"/>
          <c:tx>
            <c:strRef>
              <c:f>Sheet1!$B$102</c:f>
              <c:strCache>
                <c:ptCount val="1"/>
                <c:pt idx="0">
                  <c:v>Corruption perceptions index (right hand)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Sheet1!$C$100:$L$100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Sheet1!$C$102:$L$102</c:f>
              <c:numCache>
                <c:formatCode>General</c:formatCode>
                <c:ptCount val="10"/>
                <c:pt idx="4">
                  <c:v>43</c:v>
                </c:pt>
                <c:pt idx="5">
                  <c:v>46</c:v>
                </c:pt>
                <c:pt idx="6">
                  <c:v>46</c:v>
                </c:pt>
                <c:pt idx="7">
                  <c:v>43</c:v>
                </c:pt>
                <c:pt idx="8">
                  <c:v>45</c:v>
                </c:pt>
                <c:pt idx="9">
                  <c:v>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BF-44FC-96E0-96B6DB0C30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1930560"/>
        <c:axId val="611916416"/>
      </c:lineChart>
      <c:catAx>
        <c:axId val="763590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3591536"/>
        <c:crosses val="autoZero"/>
        <c:auto val="1"/>
        <c:lblAlgn val="ctr"/>
        <c:lblOffset val="100"/>
        <c:noMultiLvlLbl val="0"/>
      </c:catAx>
      <c:valAx>
        <c:axId val="763591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3590704"/>
        <c:crosses val="autoZero"/>
        <c:crossBetween val="between"/>
      </c:valAx>
      <c:valAx>
        <c:axId val="611916416"/>
        <c:scaling>
          <c:orientation val="minMax"/>
          <c:max val="50"/>
          <c:min val="3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1930560"/>
        <c:crosses val="max"/>
        <c:crossBetween val="between"/>
      </c:valAx>
      <c:catAx>
        <c:axId val="6119305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119164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1200"/>
              <a:t>National Audit Office </a:t>
            </a:r>
            <a:r>
              <a:rPr lang="en-AU" sz="12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(Excluded Cash Grants, Aid </a:t>
            </a:r>
          </a:p>
          <a:p>
            <a:pPr>
              <a:defRPr/>
            </a:pPr>
            <a:r>
              <a:rPr lang="en-AU" sz="12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in Kind &amp; External Loan)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Sheet1!$B$58</c:f>
              <c:strCache>
                <c:ptCount val="1"/>
                <c:pt idx="0">
                  <c:v>First budget of new government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C62-49D5-A856-049EAC573422}"/>
                </c:ext>
              </c:extLst>
            </c:dLbl>
            <c:dLbl>
              <c:idx val="1"/>
              <c:layout>
                <c:manualLayout>
                  <c:x val="-6.8817219838505526E-3"/>
                  <c:y val="9.268906598906823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900" b="0" i="0" u="none" strike="noStrike" kern="1200" baseline="0"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kern="1200" baseline="0"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</a:rPr>
                      <a:t>Carcasses Kalosil</a:t>
                    </a:r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900" b="0" i="0" u="none" strike="noStrike" kern="1200" baseline="0">
                      <a:solidFill>
                        <a:sysClr val="windowText" lastClr="000000">
                          <a:lumMod val="75000"/>
                          <a:lumOff val="25000"/>
                        </a:sys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1C62-49D5-A856-049EAC573422}"/>
                </c:ext>
              </c:extLst>
            </c:dLbl>
            <c:dLbl>
              <c:idx val="2"/>
              <c:layout>
                <c:manualLayout>
                  <c:x val="-6.8817219838505309E-3"/>
                  <c:y val="0.2224537583737637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Joe Natuman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1C62-49D5-A856-049EAC573422}"/>
                </c:ext>
              </c:extLst>
            </c:dLbl>
            <c:dLbl>
              <c:idx val="3"/>
              <c:layout>
                <c:manualLayout>
                  <c:x val="2.293907327950177E-3"/>
                  <c:y val="7.7858815430817324E-2"/>
                </c:manualLayout>
              </c:layout>
              <c:tx>
                <c:rich>
                  <a:bodyPr/>
                  <a:lstStyle/>
                  <a:p>
                    <a:r>
                      <a:rPr lang="en-US" sz="900" b="0" i="0" u="none" strike="noStrike" kern="1200" baseline="0"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</a:rPr>
                      <a:t>Charlot Salwai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1C62-49D5-A856-049EAC57342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C62-49D5-A856-049EAC57342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C62-49D5-A856-049EAC57342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C62-49D5-A856-049EAC57342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C62-49D5-A856-049EAC573422}"/>
                </c:ext>
              </c:extLst>
            </c:dLbl>
            <c:dLbl>
              <c:idx val="8"/>
              <c:layout>
                <c:manualLayout>
                  <c:x val="-2.6086706928230316E-3"/>
                  <c:y val="0.10937321560589759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Bob Loughman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410840168733129"/>
                      <c:h val="0.10746395148251218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5-1C62-49D5-A856-049EAC573422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E2-4426-B6BE-A8F14B77C2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Sheet1!$C$55:$L$55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Sheet1!$C$58:$L$58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F0-4803-9B82-DB522B5F3D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1634599343"/>
        <c:axId val="1634584367"/>
      </c:barChart>
      <c:lineChart>
        <c:grouping val="standard"/>
        <c:varyColors val="0"/>
        <c:ser>
          <c:idx val="0"/>
          <c:order val="0"/>
          <c:tx>
            <c:strRef>
              <c:f>Sheet1!$B$56</c:f>
              <c:strCache>
                <c:ptCount val="1"/>
                <c:pt idx="0">
                  <c:v>Budget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Sheet1!$C$55:$L$55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Sheet1!$C$56:$L$56</c:f>
              <c:numCache>
                <c:formatCode>#,##0.00</c:formatCode>
                <c:ptCount val="10"/>
                <c:pt idx="0">
                  <c:v>39.898184577709927</c:v>
                </c:pt>
                <c:pt idx="1">
                  <c:v>39.297507031532227</c:v>
                </c:pt>
                <c:pt idx="2">
                  <c:v>43.089308287513312</c:v>
                </c:pt>
                <c:pt idx="3">
                  <c:v>38.025092863844584</c:v>
                </c:pt>
                <c:pt idx="4">
                  <c:v>39.169113064149442</c:v>
                </c:pt>
                <c:pt idx="5">
                  <c:v>55.000705157518574</c:v>
                </c:pt>
                <c:pt idx="6">
                  <c:v>89.10536442983647</c:v>
                </c:pt>
                <c:pt idx="7">
                  <c:v>98.284653364441795</c:v>
                </c:pt>
                <c:pt idx="8">
                  <c:v>90.683636000000007</c:v>
                </c:pt>
                <c:pt idx="9">
                  <c:v>86.497481555162423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F0-4803-9B82-DB522B5F3DBC}"/>
            </c:ext>
          </c:extLst>
        </c:ser>
        <c:ser>
          <c:idx val="1"/>
          <c:order val="1"/>
          <c:tx>
            <c:strRef>
              <c:f>Sheet1!$B$57</c:f>
              <c:strCache>
                <c:ptCount val="1"/>
                <c:pt idx="0">
                  <c:v>Actual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Sheet1!$C$55:$L$55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Sheet1!$C$57:$L$57</c:f>
              <c:numCache>
                <c:formatCode>#,##0.00</c:formatCode>
                <c:ptCount val="10"/>
                <c:pt idx="0">
                  <c:v>28.645746816332331</c:v>
                </c:pt>
                <c:pt idx="1">
                  <c:v>35.266481969792181</c:v>
                </c:pt>
                <c:pt idx="2">
                  <c:v>39.649049708774704</c:v>
                </c:pt>
                <c:pt idx="3">
                  <c:v>33.782886382549421</c:v>
                </c:pt>
                <c:pt idx="4">
                  <c:v>40.640417071595301</c:v>
                </c:pt>
                <c:pt idx="5">
                  <c:v>59.24332346450403</c:v>
                </c:pt>
                <c:pt idx="6">
                  <c:v>79.96821228220125</c:v>
                </c:pt>
                <c:pt idx="7">
                  <c:v>69.777497117647755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F0-4803-9B82-DB522B5F3D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5704175"/>
        <c:axId val="1645702511"/>
      </c:lineChart>
      <c:catAx>
        <c:axId val="16457041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5702511"/>
        <c:crosses val="autoZero"/>
        <c:auto val="1"/>
        <c:lblAlgn val="ctr"/>
        <c:lblOffset val="100"/>
        <c:noMultiLvlLbl val="0"/>
      </c:catAx>
      <c:valAx>
        <c:axId val="16457025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sz="900"/>
                  <a:t>Millions of Vatu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327283829104695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5704175"/>
        <c:crosses val="autoZero"/>
        <c:crossBetween val="between"/>
      </c:valAx>
      <c:valAx>
        <c:axId val="1634584367"/>
        <c:scaling>
          <c:orientation val="minMax"/>
          <c:max val="1.02"/>
          <c:min val="0"/>
        </c:scaling>
        <c:delete val="0"/>
        <c:axPos val="r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4599343"/>
        <c:crosses val="max"/>
        <c:crossBetween val="between"/>
      </c:valAx>
      <c:catAx>
        <c:axId val="163459934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3458436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1200"/>
              <a:t>Police Service - Internal Security and Border Control </a:t>
            </a:r>
            <a:r>
              <a:rPr lang="en-AU" sz="1200" b="0" i="0" baseline="0">
                <a:effectLst/>
              </a:rPr>
              <a:t>(Excluded Cash Grants, Aid in Kind &amp; External Loan) </a:t>
            </a:r>
            <a:endParaRPr lang="en-AU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Sheet1!$B$84</c:f>
              <c:strCache>
                <c:ptCount val="1"/>
                <c:pt idx="0">
                  <c:v>First budget of new government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541-4FDB-9C2B-28E657A988A6}"/>
                </c:ext>
              </c:extLst>
            </c:dLbl>
            <c:dLbl>
              <c:idx val="1"/>
              <c:layout>
                <c:manualLayout>
                  <c:x val="-2.3767082590611783E-3"/>
                  <c:y val="7.51967846565401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900" b="0" i="0" u="none" strike="noStrike" kern="1200" baseline="0"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kern="1200" baseline="0"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</a:rPr>
                      <a:t>Carcasses Kalosil</a:t>
                    </a:r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900" b="0" i="0" u="none" strike="noStrike" kern="1200" baseline="0">
                      <a:solidFill>
                        <a:sysClr val="windowText" lastClr="000000">
                          <a:lumMod val="75000"/>
                          <a:lumOff val="25000"/>
                        </a:sys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F541-4FDB-9C2B-28E657A988A6}"/>
                </c:ext>
              </c:extLst>
            </c:dLbl>
            <c:dLbl>
              <c:idx val="2"/>
              <c:layout>
                <c:manualLayout>
                  <c:x val="0"/>
                  <c:y val="0.1579132477787343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Joe Natuman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F541-4FDB-9C2B-28E657A988A6}"/>
                </c:ext>
              </c:extLst>
            </c:dLbl>
            <c:dLbl>
              <c:idx val="3"/>
              <c:layout>
                <c:manualLayout>
                  <c:x val="9.5068330362447131E-3"/>
                  <c:y val="7.8956623889367181E-2"/>
                </c:manualLayout>
              </c:layout>
              <c:tx>
                <c:rich>
                  <a:bodyPr/>
                  <a:lstStyle/>
                  <a:p>
                    <a:r>
                      <a:rPr lang="en-US" sz="900" b="0" i="0" u="none" strike="noStrike" kern="1200" baseline="0"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</a:rPr>
                      <a:t>Charlot Salwai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F541-4FDB-9C2B-28E657A988A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541-4FDB-9C2B-28E657A988A6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541-4FDB-9C2B-28E657A988A6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541-4FDB-9C2B-28E657A988A6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541-4FDB-9C2B-28E657A988A6}"/>
                </c:ext>
              </c:extLst>
            </c:dLbl>
            <c:dLbl>
              <c:idx val="8"/>
              <c:layout>
                <c:manualLayout>
                  <c:x val="-4.7534165181224008E-3"/>
                  <c:y val="6.76771061908861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Bob Loughman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F541-4FDB-9C2B-28E657A988A6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967-49DE-9F06-B6F8BA6250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Sheet1!$C$81:$L$81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Sheet1!$C$84:$L$84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EF-4A80-8F9F-FDE94D736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1709882399"/>
        <c:axId val="1709878239"/>
      </c:barChart>
      <c:lineChart>
        <c:grouping val="standard"/>
        <c:varyColors val="0"/>
        <c:ser>
          <c:idx val="0"/>
          <c:order val="0"/>
          <c:tx>
            <c:strRef>
              <c:f>Sheet1!$B$82</c:f>
              <c:strCache>
                <c:ptCount val="1"/>
                <c:pt idx="0">
                  <c:v>Budget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Sheet1!$C$81:$L$81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Sheet1!$C$82:$L$82</c:f>
              <c:numCache>
                <c:formatCode>#,##0.00</c:formatCode>
                <c:ptCount val="10"/>
                <c:pt idx="0">
                  <c:v>994.67246464058235</c:v>
                </c:pt>
                <c:pt idx="1">
                  <c:v>1042.125748061402</c:v>
                </c:pt>
                <c:pt idx="2">
                  <c:v>1101.382552385317</c:v>
                </c:pt>
                <c:pt idx="3">
                  <c:v>1129.52679828394</c:v>
                </c:pt>
                <c:pt idx="4">
                  <c:v>1101.946712569046</c:v>
                </c:pt>
                <c:pt idx="5">
                  <c:v>1121.4426598271662</c:v>
                </c:pt>
                <c:pt idx="6">
                  <c:v>1409.1570921244149</c:v>
                </c:pt>
                <c:pt idx="7">
                  <c:v>1572.3189701573851</c:v>
                </c:pt>
                <c:pt idx="8">
                  <c:v>1616.9311130000001</c:v>
                </c:pt>
                <c:pt idx="9">
                  <c:v>1717.7962044754761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EF-4A80-8F9F-FDE94D73696A}"/>
            </c:ext>
          </c:extLst>
        </c:ser>
        <c:ser>
          <c:idx val="1"/>
          <c:order val="1"/>
          <c:tx>
            <c:strRef>
              <c:f>Sheet1!$B$83</c:f>
              <c:strCache>
                <c:ptCount val="1"/>
                <c:pt idx="0">
                  <c:v>Actual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Sheet1!$C$81:$L$81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Sheet1!$C$83:$L$83</c:f>
              <c:numCache>
                <c:formatCode>#,##0.00</c:formatCode>
                <c:ptCount val="10"/>
                <c:pt idx="0">
                  <c:v>1039.7897350278715</c:v>
                </c:pt>
                <c:pt idx="1">
                  <c:v>1169.0356763188447</c:v>
                </c:pt>
                <c:pt idx="2">
                  <c:v>1112.6354042890118</c:v>
                </c:pt>
                <c:pt idx="3">
                  <c:v>1147.6691082708112</c:v>
                </c:pt>
                <c:pt idx="4">
                  <c:v>1093.8180000573714</c:v>
                </c:pt>
                <c:pt idx="5">
                  <c:v>1318.5457500545135</c:v>
                </c:pt>
                <c:pt idx="6">
                  <c:v>1455.5830291481884</c:v>
                </c:pt>
                <c:pt idx="7">
                  <c:v>1554.3353125344954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EF-4A80-8F9F-FDE94D736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8237807"/>
        <c:axId val="758241135"/>
      </c:lineChart>
      <c:catAx>
        <c:axId val="7582378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8241135"/>
        <c:crosses val="autoZero"/>
        <c:auto val="1"/>
        <c:lblAlgn val="ctr"/>
        <c:lblOffset val="100"/>
        <c:noMultiLvlLbl val="0"/>
      </c:catAx>
      <c:valAx>
        <c:axId val="7582411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sz="900" b="0" i="0" baseline="0">
                    <a:effectLst/>
                  </a:rPr>
                  <a:t>Millions of Vatu</a:t>
                </a:r>
                <a:endParaRPr lang="en-AU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6.926406296812326E-3"/>
              <c:y val="0.362590310154171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8237807"/>
        <c:crosses val="autoZero"/>
        <c:crossBetween val="between"/>
      </c:valAx>
      <c:valAx>
        <c:axId val="1709878239"/>
        <c:scaling>
          <c:orientation val="minMax"/>
          <c:max val="1.02"/>
          <c:min val="0"/>
        </c:scaling>
        <c:delete val="0"/>
        <c:axPos val="r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9882399"/>
        <c:crosses val="max"/>
        <c:crossBetween val="between"/>
      </c:valAx>
      <c:catAx>
        <c:axId val="170988239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0987823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1200"/>
              <a:t>Total Police Service - Internal Security and Border Control and Police Service Commission </a:t>
            </a:r>
            <a:r>
              <a:rPr lang="en-AU" sz="1200" b="0" i="0" baseline="0">
                <a:effectLst/>
              </a:rPr>
              <a:t>(Excluded Cash Grants, Aid </a:t>
            </a:r>
            <a:endParaRPr lang="en-AU" sz="1200">
              <a:effectLst/>
            </a:endParaRPr>
          </a:p>
          <a:p>
            <a:pPr>
              <a:defRPr/>
            </a:pPr>
            <a:r>
              <a:rPr lang="en-AU" sz="1200" b="0" i="0" baseline="0">
                <a:effectLst/>
              </a:rPr>
              <a:t>in Kind &amp; External Loan) </a:t>
            </a:r>
            <a:endParaRPr lang="en-AU" sz="1200">
              <a:effectLst/>
            </a:endParaRPr>
          </a:p>
        </c:rich>
      </c:tx>
      <c:layout>
        <c:manualLayout>
          <c:xMode val="edge"/>
          <c:yMode val="edge"/>
          <c:x val="0.11227241812164782"/>
          <c:y val="2.27191955138831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Sheet1!$B$91</c:f>
              <c:strCache>
                <c:ptCount val="1"/>
                <c:pt idx="0">
                  <c:v>First budget of new government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DB9-497D-91E6-89D4F7D77167}"/>
                </c:ext>
              </c:extLst>
            </c:dLbl>
            <c:dLbl>
              <c:idx val="1"/>
              <c:layout>
                <c:manualLayout>
                  <c:x val="2.3188405797101449E-3"/>
                  <c:y val="0.10602291239812141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900" b="0" i="0" u="none" strike="noStrike" kern="1200" baseline="0"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kern="1200" baseline="0"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</a:rPr>
                      <a:t>Moana Kalosil</a:t>
                    </a: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</a:defRPr>
                    </a:pPr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900" b="0" i="0" u="none" strike="noStrike" kern="1200" baseline="0">
                      <a:solidFill>
                        <a:sysClr val="windowText" lastClr="000000">
                          <a:lumMod val="75000"/>
                          <a:lumOff val="25000"/>
                        </a:sys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EDB9-497D-91E6-89D4F7D77167}"/>
                </c:ext>
              </c:extLst>
            </c:dLbl>
            <c:dLbl>
              <c:idx val="2"/>
              <c:layout>
                <c:manualLayout>
                  <c:x val="0"/>
                  <c:y val="0.1401017056689461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Joe Natuman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EDB9-497D-91E6-89D4F7D77167}"/>
                </c:ext>
              </c:extLst>
            </c:dLbl>
            <c:dLbl>
              <c:idx val="3"/>
              <c:layout>
                <c:manualLayout>
                  <c:x val="0"/>
                  <c:y val="6.4371053956002275E-2"/>
                </c:manualLayout>
              </c:layout>
              <c:tx>
                <c:rich>
                  <a:bodyPr/>
                  <a:lstStyle/>
                  <a:p>
                    <a:r>
                      <a:rPr lang="en-US" sz="900" b="0" i="0" u="none" strike="noStrike" kern="1200" baseline="0"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</a:rPr>
                      <a:t>Charlot Salwai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EDB9-497D-91E6-89D4F7D7716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DB9-497D-91E6-89D4F7D77167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DB9-497D-91E6-89D4F7D77167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DB9-497D-91E6-89D4F7D77167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DB9-497D-91E6-89D4F7D77167}"/>
                </c:ext>
              </c:extLst>
            </c:dLbl>
            <c:dLbl>
              <c:idx val="8"/>
              <c:layout>
                <c:manualLayout>
                  <c:x val="-2.318840579710162E-2"/>
                  <c:y val="6.437105395600227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Bob Loughman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EDB9-497D-91E6-89D4F7D77167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77A-4CBB-B1AF-02C0491B17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Sheet1!$C$88:$L$88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Sheet1!$C$91:$L$91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15-43FE-B5F6-4E6081CB05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1759858543"/>
        <c:axId val="1759863119"/>
      </c:barChart>
      <c:lineChart>
        <c:grouping val="standard"/>
        <c:varyColors val="0"/>
        <c:ser>
          <c:idx val="0"/>
          <c:order val="0"/>
          <c:tx>
            <c:strRef>
              <c:f>Sheet1!$B$89</c:f>
              <c:strCache>
                <c:ptCount val="1"/>
                <c:pt idx="0">
                  <c:v>Budget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Sheet1!$C$88:$L$88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Sheet1!$C$89:$L$89</c:f>
              <c:numCache>
                <c:formatCode>0.00</c:formatCode>
                <c:ptCount val="10"/>
                <c:pt idx="0">
                  <c:v>1001.8447431447684</c:v>
                </c:pt>
                <c:pt idx="1">
                  <c:v>1051.1176646779429</c:v>
                </c:pt>
                <c:pt idx="2">
                  <c:v>1111.1274209558756</c:v>
                </c:pt>
                <c:pt idx="3">
                  <c:v>1139.3079036370552</c:v>
                </c:pt>
                <c:pt idx="4">
                  <c:v>1111.5492128475846</c:v>
                </c:pt>
                <c:pt idx="5">
                  <c:v>1131.0494120379706</c:v>
                </c:pt>
                <c:pt idx="6">
                  <c:v>1432.9302166824905</c:v>
                </c:pt>
                <c:pt idx="7">
                  <c:v>1585.1001869020658</c:v>
                </c:pt>
                <c:pt idx="8">
                  <c:v>1630.339414</c:v>
                </c:pt>
                <c:pt idx="9">
                  <c:v>1730.5855490539573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15-43FE-B5F6-4E6081CB056E}"/>
            </c:ext>
          </c:extLst>
        </c:ser>
        <c:ser>
          <c:idx val="1"/>
          <c:order val="1"/>
          <c:tx>
            <c:strRef>
              <c:f>Sheet1!$B$90</c:f>
              <c:strCache>
                <c:ptCount val="1"/>
                <c:pt idx="0">
                  <c:v>Actual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Sheet1!$C$88:$L$88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Sheet1!$C$90:$L$90</c:f>
              <c:numCache>
                <c:formatCode>0.00</c:formatCode>
                <c:ptCount val="10"/>
                <c:pt idx="0">
                  <c:v>1046.9934892714077</c:v>
                </c:pt>
                <c:pt idx="1">
                  <c:v>1176.6564684583445</c:v>
                </c:pt>
                <c:pt idx="2">
                  <c:v>1120.8297048500017</c:v>
                </c:pt>
                <c:pt idx="3">
                  <c:v>1156.2235298147511</c:v>
                </c:pt>
                <c:pt idx="4">
                  <c:v>1103.080758100248</c:v>
                </c:pt>
                <c:pt idx="5">
                  <c:v>1330.7016193667332</c:v>
                </c:pt>
                <c:pt idx="6">
                  <c:v>1479.7497363138489</c:v>
                </c:pt>
                <c:pt idx="7">
                  <c:v>1567.5296230576475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15-43FE-B5F6-4E6081CB05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4905023"/>
        <c:axId val="1574910431"/>
      </c:lineChart>
      <c:catAx>
        <c:axId val="15749050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4910431"/>
        <c:crosses val="autoZero"/>
        <c:auto val="1"/>
        <c:lblAlgn val="ctr"/>
        <c:lblOffset val="100"/>
        <c:noMultiLvlLbl val="0"/>
      </c:catAx>
      <c:valAx>
        <c:axId val="15749104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sz="900" b="0" i="0" baseline="0">
                    <a:effectLst/>
                  </a:rPr>
                  <a:t>Millions of Vatu</a:t>
                </a:r>
                <a:endParaRPr lang="en-AU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4.6376811594202897E-3"/>
              <c:y val="0.3817778933283084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4905023"/>
        <c:crosses val="autoZero"/>
        <c:crossBetween val="between"/>
      </c:valAx>
      <c:valAx>
        <c:axId val="1759863119"/>
        <c:scaling>
          <c:orientation val="minMax"/>
          <c:max val="1.02"/>
          <c:min val="0"/>
        </c:scaling>
        <c:delete val="0"/>
        <c:axPos val="r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9858543"/>
        <c:crosses val="max"/>
        <c:crossBetween val="between"/>
      </c:valAx>
      <c:catAx>
        <c:axId val="175985854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5986311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1200"/>
              <a:t>Public Prosecutor </a:t>
            </a:r>
            <a:r>
              <a:rPr lang="en-AU" sz="12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(Excluded Cash Grants, Aid </a:t>
            </a:r>
          </a:p>
          <a:p>
            <a:pPr>
              <a:defRPr/>
            </a:pPr>
            <a:r>
              <a:rPr lang="en-AU" sz="12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in Kind &amp; External Loan)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Sheet1!$B$65</c:f>
              <c:strCache>
                <c:ptCount val="1"/>
                <c:pt idx="0">
                  <c:v>First budget of new government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08C-4C52-87D6-518815E85009}"/>
                </c:ext>
              </c:extLst>
            </c:dLbl>
            <c:dLbl>
              <c:idx val="1"/>
              <c:layout>
                <c:manualLayout>
                  <c:x val="2.3069994479472129E-3"/>
                  <c:y val="7.115280530862125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900" b="0" i="0" u="none" strike="noStrike" kern="1200" baseline="0"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kern="1200" baseline="0"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</a:rPr>
                      <a:t>Carcasses Kalosil</a:t>
                    </a:r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900" b="0" i="0" u="none" strike="noStrike" kern="1200" baseline="0">
                      <a:solidFill>
                        <a:sysClr val="windowText" lastClr="000000">
                          <a:lumMod val="75000"/>
                          <a:lumOff val="25000"/>
                        </a:sys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208C-4C52-87D6-518815E85009}"/>
                </c:ext>
              </c:extLst>
            </c:dLbl>
            <c:dLbl>
              <c:idx val="2"/>
              <c:layout>
                <c:manualLayout>
                  <c:x val="0"/>
                  <c:y val="0.1748633303481476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Joe Natuman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208C-4C52-87D6-518815E85009}"/>
                </c:ext>
              </c:extLst>
            </c:dLbl>
            <c:dLbl>
              <c:idx val="3"/>
              <c:layout>
                <c:manualLayout>
                  <c:x val="2.6130982889143867E-3"/>
                  <c:y val="7.8130424198108492E-2"/>
                </c:manualLayout>
              </c:layout>
              <c:tx>
                <c:rich>
                  <a:bodyPr/>
                  <a:lstStyle/>
                  <a:p>
                    <a:r>
                      <a:rPr lang="en-US" sz="900" b="0" i="0" u="none" strike="noStrike" kern="1200" baseline="0"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</a:rPr>
                      <a:t>Charlot Salwai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208C-4C52-87D6-518815E8500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08C-4C52-87D6-518815E8500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08C-4C52-87D6-518815E8500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08C-4C52-87D6-518815E8500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08C-4C52-87D6-518815E85009}"/>
                </c:ext>
              </c:extLst>
            </c:dLbl>
            <c:dLbl>
              <c:idx val="8"/>
              <c:layout>
                <c:manualLayout>
                  <c:x val="-9.5812497092720191E-17"/>
                  <c:y val="6.696893502695014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Bob Loughman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208C-4C52-87D6-518815E85009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E90-488C-8523-FAA478A66A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Sheet1!$C$62:$L$62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Sheet1!$C$65:$L$65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B3-4C68-BE64-5C0BCA8D2B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1701188399"/>
        <c:axId val="1701177999"/>
      </c:barChart>
      <c:lineChart>
        <c:grouping val="standard"/>
        <c:varyColors val="0"/>
        <c:ser>
          <c:idx val="0"/>
          <c:order val="0"/>
          <c:tx>
            <c:strRef>
              <c:f>Sheet1!$B$63</c:f>
              <c:strCache>
                <c:ptCount val="1"/>
                <c:pt idx="0">
                  <c:v>Budget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Sheet1!$C$62:$L$62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Sheet1!$C$63:$L$63</c:f>
              <c:numCache>
                <c:formatCode>#,##0.00</c:formatCode>
                <c:ptCount val="10"/>
                <c:pt idx="0">
                  <c:v>45.884343135721643</c:v>
                </c:pt>
                <c:pt idx="1">
                  <c:v>44.12579839802747</c:v>
                </c:pt>
                <c:pt idx="2">
                  <c:v>45.42859654648565</c:v>
                </c:pt>
                <c:pt idx="3">
                  <c:v>50.929755164280849</c:v>
                </c:pt>
                <c:pt idx="4">
                  <c:v>59.674002860638119</c:v>
                </c:pt>
                <c:pt idx="5">
                  <c:v>80.583914001938595</c:v>
                </c:pt>
                <c:pt idx="6">
                  <c:v>108.79234456352199</c:v>
                </c:pt>
                <c:pt idx="7">
                  <c:v>105.41088027431643</c:v>
                </c:pt>
                <c:pt idx="8">
                  <c:v>105.26399000000001</c:v>
                </c:pt>
                <c:pt idx="9">
                  <c:v>112.46380658629839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B3-4C68-BE64-5C0BCA8D2BE9}"/>
            </c:ext>
          </c:extLst>
        </c:ser>
        <c:ser>
          <c:idx val="1"/>
          <c:order val="1"/>
          <c:tx>
            <c:strRef>
              <c:f>Sheet1!$B$64</c:f>
              <c:strCache>
                <c:ptCount val="1"/>
                <c:pt idx="0">
                  <c:v>Actual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Sheet1!$C$62:$L$62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Sheet1!$C$64:$L$64</c:f>
              <c:numCache>
                <c:formatCode>#,##0.00</c:formatCode>
                <c:ptCount val="10"/>
                <c:pt idx="0">
                  <c:v>44.383066391933248</c:v>
                </c:pt>
                <c:pt idx="1">
                  <c:v>42.412986104529757</c:v>
                </c:pt>
                <c:pt idx="2">
                  <c:v>44.597692490159822</c:v>
                </c:pt>
                <c:pt idx="3">
                  <c:v>51.684247404771646</c:v>
                </c:pt>
                <c:pt idx="4">
                  <c:v>84.595358034346177</c:v>
                </c:pt>
                <c:pt idx="5">
                  <c:v>70.39100553852019</c:v>
                </c:pt>
                <c:pt idx="6">
                  <c:v>89.239972418301889</c:v>
                </c:pt>
                <c:pt idx="7">
                  <c:v>122.41924594243582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B3-4C68-BE64-5C0BCA8D2B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4398767"/>
        <c:axId val="1754399599"/>
      </c:lineChart>
      <c:catAx>
        <c:axId val="17543987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4399599"/>
        <c:crosses val="autoZero"/>
        <c:auto val="1"/>
        <c:lblAlgn val="ctr"/>
        <c:lblOffset val="100"/>
        <c:noMultiLvlLbl val="0"/>
      </c:catAx>
      <c:valAx>
        <c:axId val="17543995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sz="900" b="0" i="0" baseline="0">
                    <a:effectLst/>
                  </a:rPr>
                  <a:t>Millions of Vatu</a:t>
                </a:r>
                <a:endParaRPr lang="en-AU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9.2955713555870779E-3"/>
              <c:y val="0.375189503630120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4398767"/>
        <c:crosses val="autoZero"/>
        <c:crossBetween val="between"/>
      </c:valAx>
      <c:valAx>
        <c:axId val="1701177999"/>
        <c:scaling>
          <c:orientation val="minMax"/>
          <c:max val="1.02"/>
          <c:min val="0"/>
        </c:scaling>
        <c:delete val="0"/>
        <c:axPos val="r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1188399"/>
        <c:crosses val="max"/>
        <c:crossBetween val="between"/>
      </c:valAx>
      <c:catAx>
        <c:axId val="170118839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0117799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1200"/>
              <a:t>Total Anti-corruption Budget and Spending</a:t>
            </a:r>
            <a:r>
              <a:rPr lang="en-AU" sz="12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: Office of the Ombudsman/ National Audit Office</a:t>
            </a:r>
            <a:r>
              <a:rPr lang="en-AU" sz="1200"/>
              <a:t>/ FIU </a:t>
            </a:r>
            <a:r>
              <a:rPr lang="en-AU" sz="12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(Excluded Cash Grants, Aid </a:t>
            </a:r>
          </a:p>
          <a:p>
            <a:pPr>
              <a:defRPr/>
            </a:pPr>
            <a:r>
              <a:rPr lang="en-AU" sz="12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in Kind &amp; External Loan) </a:t>
            </a:r>
            <a:endParaRPr lang="en-AU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Sheet1!$B$109</c:f>
              <c:strCache>
                <c:ptCount val="1"/>
                <c:pt idx="0">
                  <c:v>First budget of new government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05-4D6C-9688-3A4831EFAEB7}"/>
                </c:ext>
              </c:extLst>
            </c:dLbl>
            <c:dLbl>
              <c:idx val="1"/>
              <c:layout>
                <c:manualLayout>
                  <c:x val="0"/>
                  <c:y val="0.130370350093072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Carcasses Kalosil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9705-4D6C-9688-3A4831EFAEB7}"/>
                </c:ext>
              </c:extLst>
            </c:dLbl>
            <c:dLbl>
              <c:idx val="2"/>
              <c:layout>
                <c:manualLayout>
                  <c:x val="-7.1556350626118502E-3"/>
                  <c:y val="0.225185150160762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Joe Natuman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9705-4D6C-9688-3A4831EFAEB7}"/>
                </c:ext>
              </c:extLst>
            </c:dLbl>
            <c:dLbl>
              <c:idx val="3"/>
              <c:layout>
                <c:manualLayout>
                  <c:x val="-4.3728375784254716E-17"/>
                  <c:y val="0.13037035009307277"/>
                </c:manualLayout>
              </c:layout>
              <c:tx>
                <c:rich>
                  <a:bodyPr/>
                  <a:lstStyle/>
                  <a:p>
                    <a:r>
                      <a:rPr lang="en-US" sz="900" b="0" i="0" u="none" strike="noStrike" kern="1200" baseline="0"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</a:rPr>
                      <a:t>Charlot Salwai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9705-4D6C-9688-3A4831EFAEB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705-4D6C-9688-3A4831EFAEB7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05-4D6C-9688-3A4831EFAEB7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705-4D6C-9688-3A4831EFAEB7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05-4D6C-9688-3A4831EFAEB7}"/>
                </c:ext>
              </c:extLst>
            </c:dLbl>
            <c:dLbl>
              <c:idx val="8"/>
              <c:layout>
                <c:manualLayout>
                  <c:x val="1.1371037197325143E-2"/>
                  <c:y val="0.1229090950523234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Bob Loughman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777487105535392"/>
                      <c:h val="0.13119120297556944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5-9705-4D6C-9688-3A4831EFAEB7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F1E-4C8A-9335-8BECB88340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Sheet1!$C$106:$L$106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Sheet1!$C$109:$L$109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74-4303-B927-4819558C3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518398127"/>
        <c:axId val="518409775"/>
      </c:barChart>
      <c:lineChart>
        <c:grouping val="standard"/>
        <c:varyColors val="0"/>
        <c:ser>
          <c:idx val="0"/>
          <c:order val="0"/>
          <c:tx>
            <c:strRef>
              <c:f>Sheet1!$B$107</c:f>
              <c:strCache>
                <c:ptCount val="1"/>
                <c:pt idx="0">
                  <c:v>Budgeted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Sheet1!$C$106:$L$106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Sheet1!$C$107:$L$107</c:f>
              <c:numCache>
                <c:formatCode>#,##0.00</c:formatCode>
                <c:ptCount val="10"/>
                <c:pt idx="0">
                  <c:v>102.44615486068525</c:v>
                </c:pt>
                <c:pt idx="1">
                  <c:v>83.665539762282492</c:v>
                </c:pt>
                <c:pt idx="2">
                  <c:v>101.14683265388554</c:v>
                </c:pt>
                <c:pt idx="3">
                  <c:v>100.95024791585548</c:v>
                </c:pt>
                <c:pt idx="4">
                  <c:v>110.99085693860141</c:v>
                </c:pt>
                <c:pt idx="5">
                  <c:v>142.61690542862681</c:v>
                </c:pt>
                <c:pt idx="6">
                  <c:v>213.82516458608802</c:v>
                </c:pt>
                <c:pt idx="7">
                  <c:v>212.24345718949255</c:v>
                </c:pt>
                <c:pt idx="8">
                  <c:v>208.07471500000003</c:v>
                </c:pt>
                <c:pt idx="9">
                  <c:v>206.45090663171976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74-4303-B927-4819558C31CD}"/>
            </c:ext>
          </c:extLst>
        </c:ser>
        <c:ser>
          <c:idx val="1"/>
          <c:order val="1"/>
          <c:tx>
            <c:strRef>
              <c:f>Sheet1!$B$108</c:f>
              <c:strCache>
                <c:ptCount val="1"/>
                <c:pt idx="0">
                  <c:v>Actual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Sheet1!$C$106:$L$106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Sheet1!$C$108:$L$108</c:f>
              <c:numCache>
                <c:formatCode>#,##0.00</c:formatCode>
                <c:ptCount val="10"/>
                <c:pt idx="0">
                  <c:v>79.673259576467245</c:v>
                </c:pt>
                <c:pt idx="1">
                  <c:v>90.805385628249383</c:v>
                </c:pt>
                <c:pt idx="2">
                  <c:v>95.590247540154664</c:v>
                </c:pt>
                <c:pt idx="3">
                  <c:v>94.175369333456018</c:v>
                </c:pt>
                <c:pt idx="4">
                  <c:v>113.12012900999173</c:v>
                </c:pt>
                <c:pt idx="5">
                  <c:v>170.52272182675279</c:v>
                </c:pt>
                <c:pt idx="6">
                  <c:v>193.90097733038994</c:v>
                </c:pt>
                <c:pt idx="7">
                  <c:v>197.03228291940297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74-4303-B927-4819558C3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4716223"/>
        <c:axId val="1924717471"/>
      </c:lineChart>
      <c:catAx>
        <c:axId val="19247162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4717471"/>
        <c:crosses val="autoZero"/>
        <c:auto val="1"/>
        <c:lblAlgn val="ctr"/>
        <c:lblOffset val="100"/>
        <c:noMultiLvlLbl val="0"/>
      </c:catAx>
      <c:valAx>
        <c:axId val="19247174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sz="900" b="0" i="0" baseline="0">
                    <a:effectLst/>
                  </a:rPr>
                  <a:t>Millions of Vatu</a:t>
                </a:r>
                <a:endParaRPr lang="en-AU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7.1556350626118068E-3"/>
              <c:y val="0.368753670651708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4716223"/>
        <c:crosses val="autoZero"/>
        <c:crossBetween val="between"/>
      </c:valAx>
      <c:valAx>
        <c:axId val="518409775"/>
        <c:scaling>
          <c:orientation val="minMax"/>
          <c:max val="1.02"/>
          <c:min val="0"/>
        </c:scaling>
        <c:delete val="0"/>
        <c:axPos val="r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398127"/>
        <c:crosses val="max"/>
        <c:crossBetween val="between"/>
      </c:valAx>
      <c:catAx>
        <c:axId val="51839812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840977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1200"/>
              <a:t>Anti-corruption Budget and</a:t>
            </a:r>
            <a:r>
              <a:rPr lang="en-AU" sz="1200" baseline="0"/>
              <a:t> </a:t>
            </a:r>
            <a:r>
              <a:rPr lang="en-AU" sz="1200"/>
              <a:t>Spending as Proportion of National Budget (Excluded Cash Grants, Aid </a:t>
            </a:r>
          </a:p>
          <a:p>
            <a:pPr>
              <a:defRPr/>
            </a:pPr>
            <a:r>
              <a:rPr lang="en-AU" sz="1200"/>
              <a:t>in Kind &amp; External Loan)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Sheet1!$B$115</c:f>
              <c:strCache>
                <c:ptCount val="1"/>
                <c:pt idx="0">
                  <c:v>First budget of new government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ECC-4EC6-8D0D-934F6A7825EB}"/>
                </c:ext>
              </c:extLst>
            </c:dLbl>
            <c:dLbl>
              <c:idx val="1"/>
              <c:layout>
                <c:manualLayout>
                  <c:x val="7.1492397224518778E-3"/>
                  <c:y val="9.453469730442742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900" b="0" i="0" u="none" strike="noStrike" kern="1200" baseline="0"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kern="1200" baseline="0"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</a:rPr>
                      <a:t>Carcasses Kalosil</a:t>
                    </a:r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900" b="0" i="0" u="none" strike="noStrike" kern="1200" baseline="0">
                      <a:solidFill>
                        <a:sysClr val="windowText" lastClr="000000">
                          <a:lumMod val="75000"/>
                          <a:lumOff val="25000"/>
                        </a:sys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0ECC-4EC6-8D0D-934F6A7825EB}"/>
                </c:ext>
              </c:extLst>
            </c:dLbl>
            <c:dLbl>
              <c:idx val="2"/>
              <c:layout>
                <c:manualLayout>
                  <c:x val="-4.3689293601424752E-17"/>
                  <c:y val="0.1693746660037658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Joe Natuman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0ECC-4EC6-8D0D-934F6A7825EB}"/>
                </c:ext>
              </c:extLst>
            </c:dLbl>
            <c:dLbl>
              <c:idx val="3"/>
              <c:layout>
                <c:manualLayout>
                  <c:x val="2.3830799074839593E-3"/>
                  <c:y val="9.0595751583409656E-2"/>
                </c:manualLayout>
              </c:layout>
              <c:tx>
                <c:rich>
                  <a:bodyPr/>
                  <a:lstStyle/>
                  <a:p>
                    <a:r>
                      <a:rPr lang="en-US" sz="900" b="0" i="0" u="none" strike="noStrike" kern="1200" baseline="0"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</a:rPr>
                      <a:t>Charlot Salwai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0ECC-4EC6-8D0D-934F6A7825E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ECC-4EC6-8D0D-934F6A7825EB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ECC-4EC6-8D0D-934F6A7825E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ECC-4EC6-8D0D-934F6A7825EB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CC-4EC6-8D0D-934F6A7825EB}"/>
                </c:ext>
              </c:extLst>
            </c:dLbl>
            <c:dLbl>
              <c:idx val="8"/>
              <c:layout>
                <c:manualLayout>
                  <c:x val="-1.1915399537419796E-2"/>
                  <c:y val="9.059575158340965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Bob Loughman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0ECC-4EC6-8D0D-934F6A7825EB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659-411B-91D0-2FF89EC51C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Sheet1!$C$112:$L$112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Sheet1!$C$115:$L$115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34-49AA-B251-775F67131A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620477295"/>
        <c:axId val="620476879"/>
      </c:barChart>
      <c:lineChart>
        <c:grouping val="standard"/>
        <c:varyColors val="0"/>
        <c:ser>
          <c:idx val="0"/>
          <c:order val="0"/>
          <c:tx>
            <c:strRef>
              <c:f>Sheet1!$B$113</c:f>
              <c:strCache>
                <c:ptCount val="1"/>
                <c:pt idx="0">
                  <c:v>Budgeted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Sheet1!$C$112:$L$112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Sheet1!$C$113:$L$113</c:f>
              <c:numCache>
                <c:formatCode>0.000</c:formatCode>
                <c:ptCount val="10"/>
                <c:pt idx="0">
                  <c:v>5.1217816367708762E-3</c:v>
                </c:pt>
                <c:pt idx="1">
                  <c:v>4.0655676259824108E-3</c:v>
                </c:pt>
                <c:pt idx="2">
                  <c:v>4.6820493102564644E-3</c:v>
                </c:pt>
                <c:pt idx="3">
                  <c:v>4.4621404371691393E-3</c:v>
                </c:pt>
                <c:pt idx="4">
                  <c:v>4.6621304004738247E-3</c:v>
                </c:pt>
                <c:pt idx="5">
                  <c:v>5.0620456086972335E-3</c:v>
                </c:pt>
                <c:pt idx="6">
                  <c:v>7.0926300124884148E-3</c:v>
                </c:pt>
                <c:pt idx="7">
                  <c:v>5.4302229769853782E-3</c:v>
                </c:pt>
                <c:pt idx="8">
                  <c:v>5.2952607039714007E-3</c:v>
                </c:pt>
                <c:pt idx="9">
                  <c:v>5.2543859845122559E-3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34-49AA-B251-775F67131AFE}"/>
            </c:ext>
          </c:extLst>
        </c:ser>
        <c:ser>
          <c:idx val="1"/>
          <c:order val="1"/>
          <c:tx>
            <c:strRef>
              <c:f>Sheet1!$B$114</c:f>
              <c:strCache>
                <c:ptCount val="1"/>
                <c:pt idx="0">
                  <c:v>Actual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Sheet1!$C$112:$L$112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Sheet1!$C$114:$L$114</c:f>
              <c:numCache>
                <c:formatCode>#,##0.000</c:formatCode>
                <c:ptCount val="10"/>
                <c:pt idx="0">
                  <c:v>4.0579407859916393E-3</c:v>
                </c:pt>
                <c:pt idx="1">
                  <c:v>4.3169610649355728E-3</c:v>
                </c:pt>
                <c:pt idx="2">
                  <c:v>4.4620007021251087E-3</c:v>
                </c:pt>
                <c:pt idx="3">
                  <c:v>3.8188621619816058E-3</c:v>
                </c:pt>
                <c:pt idx="4">
                  <c:v>4.3828751049518767E-3</c:v>
                </c:pt>
                <c:pt idx="5">
                  <c:v>5.1912511641425841E-3</c:v>
                </c:pt>
                <c:pt idx="6">
                  <c:v>5.5440641821175212E-3</c:v>
                </c:pt>
                <c:pt idx="7">
                  <c:v>5.1705091902678347E-3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34-49AA-B251-775F67131A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49839"/>
        <c:axId val="620457743"/>
      </c:lineChart>
      <c:catAx>
        <c:axId val="6204498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0457743"/>
        <c:crosses val="autoZero"/>
        <c:auto val="1"/>
        <c:lblAlgn val="ctr"/>
        <c:lblOffset val="100"/>
        <c:noMultiLvlLbl val="0"/>
      </c:catAx>
      <c:valAx>
        <c:axId val="6204577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0449839"/>
        <c:crosses val="autoZero"/>
        <c:crossBetween val="between"/>
      </c:valAx>
      <c:valAx>
        <c:axId val="620476879"/>
        <c:scaling>
          <c:orientation val="minMax"/>
          <c:max val="1.02"/>
          <c:min val="0"/>
        </c:scaling>
        <c:delete val="0"/>
        <c:axPos val="r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0477295"/>
        <c:crosses val="max"/>
        <c:crossBetween val="between"/>
      </c:valAx>
      <c:catAx>
        <c:axId val="62047729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2047687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1200" b="0" i="0" u="none" strike="noStrike" baseline="0">
                <a:effectLst/>
              </a:rPr>
              <a:t>Actual Spending</a:t>
            </a:r>
            <a:r>
              <a:rPr lang="en-AU" sz="12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: Office of the Ombudsman</a:t>
            </a:r>
            <a:r>
              <a:rPr lang="en-AU" sz="1200" b="0" i="0" u="none" strike="noStrike" baseline="0">
                <a:effectLst/>
              </a:rPr>
              <a:t>/National Audit Office/FIU </a:t>
            </a:r>
            <a:r>
              <a:rPr lang="en-AU" sz="12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(Excluded Cash Grants, Aid </a:t>
            </a:r>
          </a:p>
          <a:p>
            <a:pPr>
              <a:defRPr/>
            </a:pPr>
            <a:r>
              <a:rPr lang="en-AU" sz="12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in Kind &amp; External Loan) </a:t>
            </a:r>
            <a:r>
              <a:rPr lang="en-AU" sz="1200" b="0" i="0" u="none" strike="noStrike" baseline="0"/>
              <a:t> </a:t>
            </a:r>
            <a:endParaRPr lang="en-AU" sz="1200" b="0"/>
          </a:p>
        </c:rich>
      </c:tx>
      <c:layout>
        <c:manualLayout>
          <c:xMode val="edge"/>
          <c:yMode val="edge"/>
          <c:x val="0.15005653716347439"/>
          <c:y val="2.26308311514281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3"/>
          <c:order val="3"/>
          <c:tx>
            <c:strRef>
              <c:f>Sheet1!$B$123</c:f>
              <c:strCache>
                <c:ptCount val="1"/>
                <c:pt idx="0">
                  <c:v>First budget of new government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A8F-480D-8909-2CC6D06A9EB7}"/>
                </c:ext>
              </c:extLst>
            </c:dLbl>
            <c:dLbl>
              <c:idx val="1"/>
              <c:layout>
                <c:manualLayout>
                  <c:x val="-4.7661598149679185E-3"/>
                  <c:y val="7.54361038380938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900" b="0" i="0" u="none" strike="noStrike" kern="1200" baseline="0"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kern="1200" baseline="0"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</a:rPr>
                      <a:t>Carcasses Kalosil</a:t>
                    </a:r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900" b="0" i="0" u="none" strike="noStrike" kern="1200" baseline="0">
                      <a:solidFill>
                        <a:sysClr val="windowText" lastClr="000000">
                          <a:lumMod val="75000"/>
                          <a:lumOff val="25000"/>
                        </a:sys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2A8F-480D-8909-2CC6D06A9EB7}"/>
                </c:ext>
              </c:extLst>
            </c:dLbl>
            <c:dLbl>
              <c:idx val="2"/>
              <c:layout>
                <c:manualLayout>
                  <c:x val="0"/>
                  <c:y val="0.1508722076761878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Joe Natuman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2A8F-480D-8909-2CC6D06A9EB7}"/>
                </c:ext>
              </c:extLst>
            </c:dLbl>
            <c:dLbl>
              <c:idx val="3"/>
              <c:layout>
                <c:manualLayout>
                  <c:x val="0"/>
                  <c:y val="8.2979714221903283E-2"/>
                </c:manualLayout>
              </c:layout>
              <c:tx>
                <c:rich>
                  <a:bodyPr/>
                  <a:lstStyle/>
                  <a:p>
                    <a:r>
                      <a:rPr lang="en-US" sz="900" b="0" i="0" u="none" strike="noStrike" kern="1200" baseline="0"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</a:rPr>
                      <a:t>Charlot Salwai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2A8F-480D-8909-2CC6D06A9EB7}"/>
                </c:ext>
              </c:extLst>
            </c:dLbl>
            <c:dLbl>
              <c:idx val="4"/>
              <c:layout>
                <c:manualLayout>
                  <c:x val="2.3830799074838717E-3"/>
                  <c:y val="0.15087220767618781"/>
                </c:manualLayout>
              </c:layout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2A8F-480D-8909-2CC6D06A9EB7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A8F-480D-8909-2CC6D06A9EB7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A8F-480D-8909-2CC6D06A9EB7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DBD-40C8-B206-DEEC608FF7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Sheet1!$C$119:$J$119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Sheet1!$C$123:$J$123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A06-4948-BA98-D21CD4B009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851688111"/>
        <c:axId val="851683951"/>
      </c:barChart>
      <c:lineChart>
        <c:grouping val="standard"/>
        <c:varyColors val="0"/>
        <c:ser>
          <c:idx val="0"/>
          <c:order val="0"/>
          <c:tx>
            <c:strRef>
              <c:f>Sheet1!$B$120</c:f>
              <c:strCache>
                <c:ptCount val="1"/>
                <c:pt idx="0">
                  <c:v>Ombudsman Commission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Sheet1!$C$119:$J$119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Sheet1!$C$120:$J$120</c:f>
              <c:numCache>
                <c:formatCode>#,##0.00</c:formatCode>
                <c:ptCount val="8"/>
                <c:pt idx="0">
                  <c:v>39.252280745308006</c:v>
                </c:pt>
                <c:pt idx="1">
                  <c:v>42.90069760697429</c:v>
                </c:pt>
                <c:pt idx="2">
                  <c:v>42.682406758563324</c:v>
                </c:pt>
                <c:pt idx="3">
                  <c:v>38.908131755092022</c:v>
                </c:pt>
                <c:pt idx="4">
                  <c:v>40.380082119120516</c:v>
                </c:pt>
                <c:pt idx="5">
                  <c:v>63.334257906119539</c:v>
                </c:pt>
                <c:pt idx="6">
                  <c:v>64.535669925911947</c:v>
                </c:pt>
                <c:pt idx="7">
                  <c:v>74.911358048477609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06-4948-BA98-D21CD4B0096C}"/>
            </c:ext>
          </c:extLst>
        </c:ser>
        <c:ser>
          <c:idx val="1"/>
          <c:order val="1"/>
          <c:tx>
            <c:strRef>
              <c:f>Sheet1!$B$121</c:f>
              <c:strCache>
                <c:ptCount val="1"/>
                <c:pt idx="0">
                  <c:v>National Audit Office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Sheet1!$C$119:$J$119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Sheet1!$C$121:$J$121</c:f>
              <c:numCache>
                <c:formatCode>#,##0.00</c:formatCode>
                <c:ptCount val="8"/>
                <c:pt idx="0">
                  <c:v>28.645746816332331</c:v>
                </c:pt>
                <c:pt idx="1">
                  <c:v>35.266481969792181</c:v>
                </c:pt>
                <c:pt idx="2">
                  <c:v>39.649049708774704</c:v>
                </c:pt>
                <c:pt idx="3">
                  <c:v>33.782886382549421</c:v>
                </c:pt>
                <c:pt idx="4">
                  <c:v>40.640417071595301</c:v>
                </c:pt>
                <c:pt idx="5">
                  <c:v>59.24332346450403</c:v>
                </c:pt>
                <c:pt idx="6">
                  <c:v>79.96821228220125</c:v>
                </c:pt>
                <c:pt idx="7">
                  <c:v>69.777497117647755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06-4948-BA98-D21CD4B0096C}"/>
            </c:ext>
          </c:extLst>
        </c:ser>
        <c:ser>
          <c:idx val="2"/>
          <c:order val="2"/>
          <c:tx>
            <c:strRef>
              <c:f>Sheet1!$B$122</c:f>
              <c:strCache>
                <c:ptCount val="1"/>
                <c:pt idx="0">
                  <c:v>FIU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Sheet1!$C$119:$J$119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Sheet1!$C$122:$J$122</c:f>
              <c:numCache>
                <c:formatCode>#,##0.00</c:formatCode>
                <c:ptCount val="8"/>
                <c:pt idx="0">
                  <c:v>11.775232014826912</c:v>
                </c:pt>
                <c:pt idx="1">
                  <c:v>12.638206051482916</c:v>
                </c:pt>
                <c:pt idx="2">
                  <c:v>13.258791072816635</c:v>
                </c:pt>
                <c:pt idx="3">
                  <c:v>21.48435119581459</c:v>
                </c:pt>
                <c:pt idx="4">
                  <c:v>32.099629819275911</c:v>
                </c:pt>
                <c:pt idx="5">
                  <c:v>47.945140456129238</c:v>
                </c:pt>
                <c:pt idx="6">
                  <c:v>49.397095122276724</c:v>
                </c:pt>
                <c:pt idx="7">
                  <c:v>52.343427753277616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A06-4948-BA98-D21CD4B009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7603583"/>
        <c:axId val="2087563231"/>
      </c:lineChart>
      <c:catAx>
        <c:axId val="20876035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7563231"/>
        <c:crosses val="autoZero"/>
        <c:auto val="1"/>
        <c:lblAlgn val="ctr"/>
        <c:lblOffset val="100"/>
        <c:noMultiLvlLbl val="0"/>
      </c:catAx>
      <c:valAx>
        <c:axId val="20875632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sz="900" b="0" i="0" baseline="0">
                    <a:effectLst/>
                  </a:rPr>
                  <a:t>Millions of Vatu</a:t>
                </a:r>
                <a:endParaRPr lang="en-AU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1.2449422993750977E-2"/>
              <c:y val="0.353804435286099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7603583"/>
        <c:crosses val="autoZero"/>
        <c:crossBetween val="between"/>
      </c:valAx>
      <c:valAx>
        <c:axId val="851683951"/>
        <c:scaling>
          <c:orientation val="minMax"/>
          <c:max val="1.02"/>
          <c:min val="0"/>
        </c:scaling>
        <c:delete val="0"/>
        <c:axPos val="r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1688111"/>
        <c:crosses val="max"/>
        <c:crossBetween val="between"/>
      </c:valAx>
      <c:catAx>
        <c:axId val="85168811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5168395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1200"/>
              <a:t>Financial Intelligence Unit </a:t>
            </a:r>
            <a:r>
              <a:rPr lang="en-AU" sz="12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(Excluded Cash Grants, Aid </a:t>
            </a:r>
          </a:p>
          <a:p>
            <a:pPr>
              <a:defRPr sz="1200"/>
            </a:pPr>
            <a:r>
              <a:rPr lang="en-AU" sz="12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in Kind &amp; External Loan) </a:t>
            </a:r>
            <a:endParaRPr lang="en-AU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Sheet1!$B$71</c:f>
              <c:strCache>
                <c:ptCount val="1"/>
                <c:pt idx="0">
                  <c:v>First budget of new government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F29-41E1-A536-F7D1BBCF98E1}"/>
                </c:ext>
              </c:extLst>
            </c:dLbl>
            <c:dLbl>
              <c:idx val="1"/>
              <c:layout>
                <c:manualLayout>
                  <c:x val="7.0733857271329135E-3"/>
                  <c:y val="7.048457063149053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900" b="0" i="0" u="none" strike="noStrike" kern="1200" baseline="0"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kern="1200" baseline="0"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</a:rPr>
                      <a:t>Carcasses Kalosil</a:t>
                    </a:r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900" b="0" i="0" u="none" strike="noStrike" kern="1200" baseline="0">
                      <a:solidFill>
                        <a:sysClr val="windowText" lastClr="000000">
                          <a:lumMod val="75000"/>
                          <a:lumOff val="25000"/>
                        </a:sys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DF29-41E1-A536-F7D1BBCF98E1}"/>
                </c:ext>
              </c:extLst>
            </c:dLbl>
            <c:dLbl>
              <c:idx val="2"/>
              <c:layout>
                <c:manualLayout>
                  <c:x val="-4.7155904847552754E-3"/>
                  <c:y val="0.1879588550173081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Joe Natuman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DF29-41E1-A536-F7D1BBCF98E1}"/>
                </c:ext>
              </c:extLst>
            </c:dLbl>
            <c:dLbl>
              <c:idx val="3"/>
              <c:layout>
                <c:manualLayout>
                  <c:x val="-4.3225746762741491E-17"/>
                  <c:y val="7.0484570631490537E-2"/>
                </c:manualLayout>
              </c:layout>
              <c:tx>
                <c:rich>
                  <a:bodyPr/>
                  <a:lstStyle/>
                  <a:p>
                    <a:r>
                      <a:rPr lang="en-US" sz="900" b="0" i="0" u="none" strike="noStrike" kern="1200" baseline="0"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</a:rPr>
                      <a:t>Charlot Salwai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DF29-41E1-A536-F7D1BBCF98E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F29-41E1-A536-F7D1BBCF98E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F29-41E1-A536-F7D1BBCF98E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F29-41E1-A536-F7D1BBCF98E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F29-41E1-A536-F7D1BBCF98E1}"/>
                </c:ext>
              </c:extLst>
            </c:dLbl>
            <c:dLbl>
              <c:idx val="8"/>
              <c:layout>
                <c:manualLayout>
                  <c:x val="-7.0733713606671439E-3"/>
                  <c:y val="0.2001574870789010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Bob Loughman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DF29-41E1-A536-F7D1BBCF98E1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23B-4D95-9A33-57849BD9062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Sheet1!$C$68:$L$68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Sheet1!$C$71:$L$71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36-4C21-9072-4C63611255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662090079"/>
        <c:axId val="662104639"/>
      </c:barChart>
      <c:lineChart>
        <c:grouping val="standard"/>
        <c:varyColors val="0"/>
        <c:ser>
          <c:idx val="0"/>
          <c:order val="0"/>
          <c:tx>
            <c:strRef>
              <c:f>Sheet1!$B$69</c:f>
              <c:strCache>
                <c:ptCount val="1"/>
                <c:pt idx="0">
                  <c:v>Budget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Sheet1!$C$68:$L$68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Sheet1!$C$69:$L$69</c:f>
              <c:numCache>
                <c:formatCode>#,##0.00</c:formatCode>
                <c:ptCount val="10"/>
                <c:pt idx="0">
                  <c:v>12.349675590754483</c:v>
                </c:pt>
                <c:pt idx="2">
                  <c:v>14.764571995655611</c:v>
                </c:pt>
                <c:pt idx="3">
                  <c:v>19.99371506475801</c:v>
                </c:pt>
                <c:pt idx="4">
                  <c:v>30.174911365739788</c:v>
                </c:pt>
                <c:pt idx="5">
                  <c:v>44.130725336504035</c:v>
                </c:pt>
                <c:pt idx="6">
                  <c:v>46.152961107786155</c:v>
                </c:pt>
                <c:pt idx="7">
                  <c:v>51.751944119343285</c:v>
                </c:pt>
                <c:pt idx="8">
                  <c:v>55.456631999999999</c:v>
                </c:pt>
                <c:pt idx="9">
                  <c:v>53.40342600986267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36-4C21-9072-4C6361125576}"/>
            </c:ext>
          </c:extLst>
        </c:ser>
        <c:ser>
          <c:idx val="1"/>
          <c:order val="1"/>
          <c:tx>
            <c:strRef>
              <c:f>Sheet1!$B$70</c:f>
              <c:strCache>
                <c:ptCount val="1"/>
                <c:pt idx="0">
                  <c:v>Actual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Sheet1!$C$68:$L$68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Sheet1!$C$70:$L$70</c:f>
              <c:numCache>
                <c:formatCode>#,##0.00</c:formatCode>
                <c:ptCount val="10"/>
                <c:pt idx="0">
                  <c:v>11.775232014826912</c:v>
                </c:pt>
                <c:pt idx="1">
                  <c:v>12.638206051482916</c:v>
                </c:pt>
                <c:pt idx="2">
                  <c:v>13.258791072816635</c:v>
                </c:pt>
                <c:pt idx="3">
                  <c:v>21.48435119581459</c:v>
                </c:pt>
                <c:pt idx="4">
                  <c:v>32.099629819275911</c:v>
                </c:pt>
                <c:pt idx="5">
                  <c:v>47.945140456129238</c:v>
                </c:pt>
                <c:pt idx="6">
                  <c:v>49.397095122276724</c:v>
                </c:pt>
                <c:pt idx="7">
                  <c:v>52.343427753277616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36-4C21-9072-4C63611255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40687"/>
        <c:axId val="620435695"/>
      </c:lineChart>
      <c:catAx>
        <c:axId val="6204406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0435695"/>
        <c:crosses val="autoZero"/>
        <c:auto val="1"/>
        <c:lblAlgn val="ctr"/>
        <c:lblOffset val="100"/>
        <c:noMultiLvlLbl val="0"/>
      </c:catAx>
      <c:valAx>
        <c:axId val="6204356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sz="900" b="0" i="0" baseline="0">
                    <a:effectLst/>
                  </a:rPr>
                  <a:t>Millions of Vatu</a:t>
                </a:r>
                <a:endParaRPr lang="en-AU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1.2266174834908878E-2"/>
              <c:y val="0.360805768758191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0440687"/>
        <c:crosses val="autoZero"/>
        <c:crossBetween val="between"/>
      </c:valAx>
      <c:valAx>
        <c:axId val="662104639"/>
        <c:scaling>
          <c:orientation val="minMax"/>
          <c:max val="1.02"/>
          <c:min val="0"/>
        </c:scaling>
        <c:delete val="0"/>
        <c:axPos val="r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2090079"/>
        <c:crosses val="max"/>
        <c:crossBetween val="between"/>
      </c:valAx>
      <c:catAx>
        <c:axId val="66209007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6210463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164</xdr:row>
      <xdr:rowOff>13096</xdr:rowOff>
    </xdr:from>
    <xdr:to>
      <xdr:col>4</xdr:col>
      <xdr:colOff>990599</xdr:colOff>
      <xdr:row>181</xdr:row>
      <xdr:rowOff>164306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543F141-C879-4790-B676-6E7EA3F64E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9526</xdr:colOff>
      <xdr:row>164</xdr:row>
      <xdr:rowOff>5950</xdr:rowOff>
    </xdr:from>
    <xdr:to>
      <xdr:col>11</xdr:col>
      <xdr:colOff>552450</xdr:colOff>
      <xdr:row>182</xdr:row>
      <xdr:rowOff>2381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2441353-A57F-4F33-BA1D-F0EA938AA1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183</xdr:row>
      <xdr:rowOff>27383</xdr:rowOff>
    </xdr:from>
    <xdr:to>
      <xdr:col>4</xdr:col>
      <xdr:colOff>981075</xdr:colOff>
      <xdr:row>200</xdr:row>
      <xdr:rowOff>166687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69945CD-B7FE-4936-8A8A-7DBD245C49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959643</xdr:colOff>
      <xdr:row>182</xdr:row>
      <xdr:rowOff>170257</xdr:rowOff>
    </xdr:from>
    <xdr:to>
      <xdr:col>11</xdr:col>
      <xdr:colOff>552451</xdr:colOff>
      <xdr:row>200</xdr:row>
      <xdr:rowOff>95249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4A5FF5B-59A8-4805-912F-441617DE52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352424</xdr:colOff>
      <xdr:row>203</xdr:row>
      <xdr:rowOff>158351</xdr:rowOff>
    </xdr:from>
    <xdr:to>
      <xdr:col>4</xdr:col>
      <xdr:colOff>1000124</xdr:colOff>
      <xdr:row>221</xdr:row>
      <xdr:rowOff>171450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B5CB1C1-166B-43B8-9B7B-B1B1CBBE3A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9523</xdr:colOff>
      <xdr:row>127</xdr:row>
      <xdr:rowOff>14287</xdr:rowOff>
    </xdr:from>
    <xdr:to>
      <xdr:col>5</xdr:col>
      <xdr:colOff>9524</xdr:colOff>
      <xdr:row>143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D73C29B-B805-4A43-82E2-E9EC49D1A8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4763</xdr:colOff>
      <xdr:row>127</xdr:row>
      <xdr:rowOff>14286</xdr:rowOff>
    </xdr:from>
    <xdr:to>
      <xdr:col>11</xdr:col>
      <xdr:colOff>581025</xdr:colOff>
      <xdr:row>143</xdr:row>
      <xdr:rowOff>190499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14316567-FBF0-4698-808A-A76BBD9456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42862</xdr:colOff>
      <xdr:row>145</xdr:row>
      <xdr:rowOff>14287</xdr:rowOff>
    </xdr:from>
    <xdr:to>
      <xdr:col>5</xdr:col>
      <xdr:colOff>9525</xdr:colOff>
      <xdr:row>162</xdr:row>
      <xdr:rowOff>57150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8623BDCF-CE52-4E72-8760-4B99D15036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14288</xdr:colOff>
      <xdr:row>144</xdr:row>
      <xdr:rowOff>185736</xdr:rowOff>
    </xdr:from>
    <xdr:to>
      <xdr:col>11</xdr:col>
      <xdr:colOff>552450</xdr:colOff>
      <xdr:row>161</xdr:row>
      <xdr:rowOff>190499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CA88A6DD-83EC-441A-BF35-71A1988F58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1009650</xdr:colOff>
      <xdr:row>204</xdr:row>
      <xdr:rowOff>0</xdr:rowOff>
    </xdr:from>
    <xdr:to>
      <xdr:col>11</xdr:col>
      <xdr:colOff>449035</xdr:colOff>
      <xdr:row>220</xdr:row>
      <xdr:rowOff>161924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5B8AD222-AB93-8CC7-C7E1-0F3D204F52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mf.org/en/Publications/WEO/weo-database/2022/April/weo-report?c=846,&amp;s=PCPI,PCPIPCH,PCPIE,PCPIEPCH,&amp;sy=2013&amp;ey=2027&amp;ssm=0&amp;scsm=1&amp;scc=0&amp;ssd=1&amp;ssc=0&amp;sic=0&amp;sort=country&amp;ds=.&amp;br=1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3"/>
  <sheetViews>
    <sheetView tabSelected="1" zoomScale="70" zoomScaleNormal="70" workbookViewId="0">
      <pane ySplit="1" topLeftCell="A198" activePane="bottomLeft" state="frozen"/>
      <selection pane="bottomLeft" activeCell="L208" sqref="L130:L208"/>
    </sheetView>
  </sheetViews>
  <sheetFormatPr defaultRowHeight="14.4" x14ac:dyDescent="0.3"/>
  <cols>
    <col min="1" max="1" width="5.44140625" customWidth="1"/>
    <col min="2" max="2" width="38" customWidth="1"/>
    <col min="3" max="11" width="15" customWidth="1"/>
    <col min="12" max="12" width="15.77734375" customWidth="1"/>
    <col min="13" max="13" width="55.5546875" customWidth="1"/>
    <col min="14" max="14" width="27.5546875" customWidth="1"/>
  </cols>
  <sheetData>
    <row r="1" spans="1:14" x14ac:dyDescent="0.3">
      <c r="A1" s="1" t="s">
        <v>27</v>
      </c>
      <c r="B1" s="1"/>
      <c r="C1" s="88">
        <v>2013</v>
      </c>
      <c r="D1" s="88">
        <v>2014</v>
      </c>
      <c r="E1" s="88">
        <v>2015</v>
      </c>
      <c r="F1" s="88">
        <v>2016</v>
      </c>
      <c r="G1" s="88">
        <v>2017</v>
      </c>
      <c r="H1" s="88">
        <v>2018</v>
      </c>
      <c r="I1" s="88">
        <v>2019</v>
      </c>
      <c r="J1" s="88">
        <v>2020</v>
      </c>
      <c r="K1" s="88">
        <v>2021</v>
      </c>
      <c r="L1" s="88">
        <v>2022</v>
      </c>
      <c r="M1" s="36" t="s">
        <v>8</v>
      </c>
    </row>
    <row r="2" spans="1:14" x14ac:dyDescent="0.3">
      <c r="A2" s="1"/>
      <c r="B2" s="80" t="s">
        <v>17</v>
      </c>
      <c r="C2" s="1"/>
      <c r="D2" s="1"/>
      <c r="E2" s="1"/>
      <c r="F2" s="1"/>
      <c r="G2" s="1"/>
      <c r="H2" s="1"/>
      <c r="I2" s="1"/>
      <c r="J2" s="1"/>
      <c r="K2" s="1"/>
      <c r="L2" s="1"/>
      <c r="M2" t="s">
        <v>3</v>
      </c>
    </row>
    <row r="3" spans="1:14" x14ac:dyDescent="0.3">
      <c r="B3" s="19" t="s">
        <v>25</v>
      </c>
      <c r="M3" s="23"/>
    </row>
    <row r="4" spans="1:14" x14ac:dyDescent="0.3">
      <c r="B4" s="3" t="s">
        <v>4</v>
      </c>
      <c r="C4" s="14">
        <f>40972648/1000000</f>
        <v>40.972648</v>
      </c>
      <c r="D4" s="14">
        <f>36503195/1000000</f>
        <v>36.503194999999998</v>
      </c>
      <c r="E4" s="14">
        <f>36503195/1000000</f>
        <v>36.503194999999998</v>
      </c>
      <c r="F4" s="14">
        <f>36503195/1000000</f>
        <v>36.503194999999998</v>
      </c>
      <c r="G4" s="14">
        <f>36503195/1000000</f>
        <v>36.503194999999998</v>
      </c>
      <c r="H4" s="14">
        <f>39003195/1000000</f>
        <v>39.003194999999998</v>
      </c>
      <c r="I4" s="14">
        <f>72403859/1000000</f>
        <v>72.403858999999997</v>
      </c>
      <c r="J4" s="14">
        <f>60391859/1000000</f>
        <v>60.391858999999997</v>
      </c>
      <c r="K4" s="14">
        <f>61934447/1000000</f>
        <v>61.934446999999999</v>
      </c>
      <c r="L4" s="14">
        <f>69770770/1000000</f>
        <v>69.770769999999999</v>
      </c>
      <c r="M4" s="29"/>
    </row>
    <row r="5" spans="1:14" x14ac:dyDescent="0.3">
      <c r="B5" s="3" t="s">
        <v>5</v>
      </c>
      <c r="C5" s="14">
        <f>32038337/1000000</f>
        <v>32.038336999999999</v>
      </c>
      <c r="D5" s="14">
        <f>35295965/1000000</f>
        <v>35.295965000000002</v>
      </c>
      <c r="E5" s="14">
        <f>35988403/1000000</f>
        <v>35.988402999999998</v>
      </c>
      <c r="F5" s="14">
        <f>33082308/1000000</f>
        <v>33.082307999999998</v>
      </c>
      <c r="G5" s="14">
        <f>35392896/1000000</f>
        <v>35.392896</v>
      </c>
      <c r="H5" s="14">
        <f>56806058/1000000</f>
        <v>56.806058</v>
      </c>
      <c r="I5" s="14">
        <f>59473330/1000000</f>
        <v>59.473329999999997</v>
      </c>
      <c r="J5" s="14">
        <f>72725680/1000000</f>
        <v>72.725679999999997</v>
      </c>
      <c r="K5" s="14"/>
      <c r="L5" s="14"/>
    </row>
    <row r="6" spans="1:14" x14ac:dyDescent="0.3"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4" x14ac:dyDescent="0.3"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4" x14ac:dyDescent="0.3">
      <c r="B8" t="s">
        <v>1</v>
      </c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14" x14ac:dyDescent="0.3">
      <c r="B9" s="2" t="s">
        <v>4</v>
      </c>
      <c r="C9" s="15">
        <f>32565534/1000000</f>
        <v>32.565534</v>
      </c>
      <c r="D9" s="15">
        <f>32331489/1000000</f>
        <v>32.331488999999998</v>
      </c>
      <c r="E9" s="15">
        <f>36331489/1000000</f>
        <v>36.331488999999998</v>
      </c>
      <c r="F9" s="15">
        <f>32331489/1000000</f>
        <v>32.331488999999998</v>
      </c>
      <c r="G9" s="15">
        <f>34331489/1000000</f>
        <v>34.331488999999998</v>
      </c>
      <c r="H9" s="15">
        <f>49331489/1000000</f>
        <v>49.331488999999998</v>
      </c>
      <c r="I9" s="15">
        <f>82115716/1000000</f>
        <v>82.115716000000006</v>
      </c>
      <c r="J9" s="15">
        <f>95417016/1000000</f>
        <v>95.417016000000004</v>
      </c>
      <c r="K9" s="15">
        <f>90683636/1000000</f>
        <v>90.683636000000007</v>
      </c>
      <c r="L9" s="41">
        <f>90683636/1000000</f>
        <v>90.683636000000007</v>
      </c>
    </row>
    <row r="10" spans="1:14" x14ac:dyDescent="0.3">
      <c r="B10" s="2" t="s">
        <v>5</v>
      </c>
      <c r="C10" s="15">
        <f>23381115/1000000</f>
        <v>23.381115000000001</v>
      </c>
      <c r="D10" s="15">
        <f>29015018/1000000</f>
        <v>29.015018000000001</v>
      </c>
      <c r="E10" s="15">
        <f>33430776/1000000</f>
        <v>33.430776000000002</v>
      </c>
      <c r="F10" s="15">
        <f>28724480/1000000</f>
        <v>28.72448</v>
      </c>
      <c r="G10" s="15">
        <f>35621078/1000000</f>
        <v>35.621077999999997</v>
      </c>
      <c r="H10" s="15">
        <f>53136798/1000000</f>
        <v>53.136797999999999</v>
      </c>
      <c r="I10" s="15">
        <f>73695305/1000000</f>
        <v>73.695305000000005</v>
      </c>
      <c r="J10" s="15">
        <f>67741609/1000000</f>
        <v>67.741608999999997</v>
      </c>
      <c r="K10" s="15"/>
      <c r="L10" s="15"/>
    </row>
    <row r="11" spans="1:14" x14ac:dyDescent="0.3">
      <c r="B11" s="28" t="s">
        <v>24</v>
      </c>
      <c r="C11" s="25"/>
      <c r="D11" s="25"/>
      <c r="E11" s="25"/>
      <c r="F11" s="25"/>
      <c r="G11" s="25"/>
      <c r="H11" s="25"/>
      <c r="I11" s="25"/>
      <c r="J11" s="25">
        <f>24074096/1000000</f>
        <v>24.074096000000001</v>
      </c>
      <c r="K11" s="25">
        <f>24000000/1000000</f>
        <v>24</v>
      </c>
      <c r="L11" s="25">
        <f>24000000/1000000</f>
        <v>24</v>
      </c>
      <c r="M11" t="s">
        <v>42</v>
      </c>
    </row>
    <row r="12" spans="1:14" x14ac:dyDescent="0.3"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1:14" x14ac:dyDescent="0.3">
      <c r="B13" s="19" t="s">
        <v>2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1:14" x14ac:dyDescent="0.3">
      <c r="B14" s="4" t="s">
        <v>4</v>
      </c>
      <c r="C14" s="16">
        <f>37451532/1000000</f>
        <v>37.451532</v>
      </c>
      <c r="D14" s="16">
        <f>36303900/1000000</f>
        <v>36.303899999999999</v>
      </c>
      <c r="E14" s="16">
        <f>38303900/1000000</f>
        <v>38.303899999999999</v>
      </c>
      <c r="F14" s="16">
        <f>43303900/1000000</f>
        <v>43.303899999999999</v>
      </c>
      <c r="G14" s="16">
        <f>52303900/1000000</f>
        <v>52.303899999999999</v>
      </c>
      <c r="H14" s="16">
        <f>72277700/1000000</f>
        <v>72.277699999999996</v>
      </c>
      <c r="I14" s="16">
        <f>100258400/1000000</f>
        <v>100.25839999999999</v>
      </c>
      <c r="J14" s="16">
        <f>102335322/1000000</f>
        <v>102.33532200000001</v>
      </c>
      <c r="K14" s="16">
        <f>105263990/1000000</f>
        <v>105.26399000000001</v>
      </c>
      <c r="L14" s="42">
        <f>117906634/1000000</f>
        <v>117.906634</v>
      </c>
    </row>
    <row r="15" spans="1:14" x14ac:dyDescent="0.3">
      <c r="B15" s="4" t="s">
        <v>5</v>
      </c>
      <c r="C15" s="16">
        <f>36226166/1000000</f>
        <v>36.226165999999999</v>
      </c>
      <c r="D15" s="16">
        <f>34894707/1000000</f>
        <v>34.894706999999997</v>
      </c>
      <c r="E15" s="16">
        <f>37603309/1000000</f>
        <v>37.603309000000003</v>
      </c>
      <c r="F15" s="16">
        <f>43945420/1000000</f>
        <v>43.945419999999999</v>
      </c>
      <c r="G15" s="16">
        <f>74147316/1000000</f>
        <v>74.147316000000004</v>
      </c>
      <c r="H15" s="16">
        <f>63135429/1000000</f>
        <v>63.135429000000002</v>
      </c>
      <c r="I15" s="16">
        <f>82239765/1000000</f>
        <v>82.239765000000006</v>
      </c>
      <c r="J15" s="16">
        <f>118847437/1000000</f>
        <v>118.847437</v>
      </c>
      <c r="K15" s="16"/>
      <c r="L15" s="16"/>
    </row>
    <row r="16" spans="1:14" x14ac:dyDescent="0.3">
      <c r="B16" s="77" t="s">
        <v>24</v>
      </c>
      <c r="C16" s="4"/>
      <c r="D16" s="4"/>
      <c r="E16" s="4"/>
      <c r="F16" s="4"/>
      <c r="G16" s="4"/>
      <c r="H16" s="4"/>
      <c r="I16" s="4"/>
      <c r="J16" s="4"/>
      <c r="K16" s="4"/>
      <c r="L16" s="39">
        <f>4578294/1000000</f>
        <v>4.5782939999999996</v>
      </c>
      <c r="M16" s="79"/>
      <c r="N16" s="78"/>
    </row>
    <row r="17" spans="2:13" x14ac:dyDescent="0.3"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2:13" x14ac:dyDescent="0.3">
      <c r="B18" s="19" t="s">
        <v>28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2:13" x14ac:dyDescent="0.3">
      <c r="B19" s="3" t="s">
        <v>4</v>
      </c>
      <c r="C19" s="14">
        <f>10080002/1000000</f>
        <v>10.080002</v>
      </c>
      <c r="D19" s="14"/>
      <c r="E19" s="14">
        <f>12449002/1000000</f>
        <v>12.449002</v>
      </c>
      <c r="F19" s="14">
        <f>17000000/1000000</f>
        <v>17</v>
      </c>
      <c r="G19" s="14">
        <f>26448126/1000000</f>
        <v>26.448125999999998</v>
      </c>
      <c r="H19" s="14">
        <f>39581936/1000000</f>
        <v>39.581935999999999</v>
      </c>
      <c r="I19" s="14">
        <f>42532607/1000000</f>
        <v>42.532606999999999</v>
      </c>
      <c r="J19" s="14">
        <f>50241985/1000000</f>
        <v>50.241985</v>
      </c>
      <c r="K19" s="14">
        <f>55456632/1000000</f>
        <v>55.456631999999999</v>
      </c>
      <c r="L19" s="14">
        <f>55987952/1000000</f>
        <v>55.987952</v>
      </c>
    </row>
    <row r="20" spans="2:13" x14ac:dyDescent="0.3">
      <c r="B20" s="3" t="s">
        <v>5</v>
      </c>
      <c r="C20" s="14">
        <f>9611132/1000000</f>
        <v>9.6111319999999996</v>
      </c>
      <c r="D20" s="14">
        <f>10397912/1000000</f>
        <v>10.397912</v>
      </c>
      <c r="E20" s="14">
        <f>11179377/1000000</f>
        <v>11.179377000000001</v>
      </c>
      <c r="F20" s="14">
        <f>18267439/1000000</f>
        <v>18.267439</v>
      </c>
      <c r="G20" s="14">
        <f>28135130/1000000</f>
        <v>28.13513</v>
      </c>
      <c r="H20" s="14">
        <f>43003179/1000000</f>
        <v>43.003179000000003</v>
      </c>
      <c r="I20" s="14">
        <f>45522263/1000000</f>
        <v>45.522263000000002</v>
      </c>
      <c r="J20" s="14">
        <f>50816211/1000000</f>
        <v>50.816211000000003</v>
      </c>
      <c r="K20" s="14"/>
      <c r="L20" s="14"/>
    </row>
    <row r="21" spans="2:13" x14ac:dyDescent="0.3"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2:13" x14ac:dyDescent="0.3"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2:13" x14ac:dyDescent="0.3">
      <c r="B23" s="19" t="s">
        <v>7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2:13" x14ac:dyDescent="0.3">
      <c r="B24" s="9" t="s">
        <v>4</v>
      </c>
      <c r="C24" s="17">
        <f>5854128/1000000</f>
        <v>5.8541280000000002</v>
      </c>
      <c r="D24" s="17">
        <f>7397977/1000000</f>
        <v>7.397977</v>
      </c>
      <c r="E24" s="17">
        <f>8216553/1000000</f>
        <v>8.2165529999999993</v>
      </c>
      <c r="F24" s="17">
        <f>8316553/1000000</f>
        <v>8.3165530000000008</v>
      </c>
      <c r="G24" s="17">
        <f>8416533/1000000</f>
        <v>8.4165329999999994</v>
      </c>
      <c r="H24" s="17">
        <f>8616533/1000000</f>
        <v>8.6165330000000004</v>
      </c>
      <c r="I24" s="17">
        <f>21908301/1000000</f>
        <v>21.908301000000002</v>
      </c>
      <c r="J24" s="17">
        <f>12408301/1000000</f>
        <v>12.408301</v>
      </c>
      <c r="K24" s="17">
        <f>13408301/1000000</f>
        <v>13.408301</v>
      </c>
      <c r="L24" s="17">
        <f>13408301/1000000</f>
        <v>13.408301</v>
      </c>
      <c r="M24" s="29"/>
    </row>
    <row r="25" spans="2:13" x14ac:dyDescent="0.3">
      <c r="B25" s="9" t="s">
        <v>5</v>
      </c>
      <c r="C25" s="17">
        <f>5879819/1000000</f>
        <v>5.8798190000000004</v>
      </c>
      <c r="D25" s="17">
        <f>6269903/1000000</f>
        <v>6.2699030000000002</v>
      </c>
      <c r="E25" s="17">
        <f>6909165/1000000</f>
        <v>6.9091649999999998</v>
      </c>
      <c r="F25" s="17">
        <f>7273544/1000000</f>
        <v>7.2735440000000002</v>
      </c>
      <c r="G25" s="17">
        <f>8118751/1000000</f>
        <v>8.1187509999999996</v>
      </c>
      <c r="H25" s="17">
        <f>10902899/1000000</f>
        <v>10.902899</v>
      </c>
      <c r="I25" s="17">
        <f>22271010/1000000</f>
        <v>22.27101</v>
      </c>
      <c r="J25" s="17">
        <f>12809342/1000000</f>
        <v>12.809341999999999</v>
      </c>
      <c r="K25" s="17"/>
      <c r="L25" s="17"/>
    </row>
    <row r="26" spans="2:13" ht="28.8" x14ac:dyDescent="0.3">
      <c r="B26" s="33" t="s">
        <v>12</v>
      </c>
      <c r="C26" s="24"/>
      <c r="D26" s="24"/>
      <c r="E26" s="24"/>
      <c r="F26" s="24"/>
      <c r="G26" s="24"/>
      <c r="H26" s="87">
        <f>17864231/1000000</f>
        <v>17.864231</v>
      </c>
      <c r="I26" s="87">
        <f>176976591/1000000</f>
        <v>176.97659100000001</v>
      </c>
      <c r="J26" s="87">
        <f>145102078/1000000</f>
        <v>145.10207800000001</v>
      </c>
      <c r="K26" s="40"/>
      <c r="L26" s="35"/>
    </row>
    <row r="27" spans="2:13" x14ac:dyDescent="0.3"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13" x14ac:dyDescent="0.3">
      <c r="B28" s="19" t="s">
        <v>16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2:13" x14ac:dyDescent="0.3">
      <c r="B29" s="10" t="s">
        <v>4</v>
      </c>
      <c r="C29" s="18">
        <f>811867515/1000000</f>
        <v>811.86751500000003</v>
      </c>
      <c r="D29" s="18">
        <f>(752286554+105108220)/1000000</f>
        <v>857.39477399999998</v>
      </c>
      <c r="E29" s="18">
        <f>(842586554+86063027)/1000000</f>
        <v>928.64958100000001</v>
      </c>
      <c r="F29" s="18">
        <f>(876586554+83813027)/1000000</f>
        <v>960.39958100000001</v>
      </c>
      <c r="G29" s="18">
        <f>965849581/1000000</f>
        <v>965.84958099999994</v>
      </c>
      <c r="H29" s="18">
        <f>1005849581/1000000</f>
        <v>1005.8495809999999</v>
      </c>
      <c r="I29" s="18">
        <f>1298619273/1000000</f>
        <v>1298.619273</v>
      </c>
      <c r="J29" s="18">
        <f>1526443643/1000000</f>
        <v>1526.4436430000001</v>
      </c>
      <c r="K29" s="18">
        <f>1616931113/1000000</f>
        <v>1616.9311130000001</v>
      </c>
      <c r="L29" s="43">
        <f>1800931113/1000000</f>
        <v>1800.9311130000001</v>
      </c>
      <c r="M29" s="84"/>
    </row>
    <row r="30" spans="2:13" x14ac:dyDescent="0.3">
      <c r="B30" s="10" t="s">
        <v>5</v>
      </c>
      <c r="C30" s="18">
        <f>(752746490+95946460)/1000000</f>
        <v>848.69295</v>
      </c>
      <c r="D30" s="18">
        <f>(858936944+102871246)/1000000</f>
        <v>961.80818999999997</v>
      </c>
      <c r="E30" s="18">
        <f>(850539676+87597940)/1000000</f>
        <v>938.13761599999998</v>
      </c>
      <c r="F30" s="18">
        <f>(893179606+82645786)/1000000</f>
        <v>975.82539199999997</v>
      </c>
      <c r="G30" s="18">
        <f>(936396764+22328050)/1000000</f>
        <v>958.72481400000004</v>
      </c>
      <c r="H30" s="18">
        <f>1182636204/1000000</f>
        <v>1182.6362039999999</v>
      </c>
      <c r="I30" s="18">
        <f>1341403443/1000000</f>
        <v>1341.4034429999999</v>
      </c>
      <c r="J30" s="18">
        <f>1508984692/1000000</f>
        <v>1508.984692</v>
      </c>
      <c r="K30" s="18"/>
      <c r="L30" s="18"/>
      <c r="M30" s="86"/>
    </row>
    <row r="31" spans="2:13" ht="28.8" x14ac:dyDescent="0.3">
      <c r="B31" s="30" t="s">
        <v>13</v>
      </c>
      <c r="C31" s="10"/>
      <c r="D31" s="18">
        <f>152289000/1000000</f>
        <v>152.28899999999999</v>
      </c>
      <c r="E31" s="18">
        <f>422809880/1000000</f>
        <v>422.80988000000002</v>
      </c>
      <c r="F31" s="18">
        <f>419854193/1000000</f>
        <v>419.85419300000001</v>
      </c>
      <c r="G31" s="18">
        <f>438902200/1000000</f>
        <v>438.90219999999999</v>
      </c>
      <c r="H31" s="10"/>
      <c r="I31" s="10"/>
      <c r="J31" s="10"/>
      <c r="K31" s="10">
        <f>101905000/1000000</f>
        <v>101.905</v>
      </c>
      <c r="L31" s="18">
        <f>2996088963/1000000</f>
        <v>2996.0889630000001</v>
      </c>
      <c r="M31" s="13"/>
    </row>
    <row r="32" spans="2:13" x14ac:dyDescent="0.3">
      <c r="B32" s="29"/>
      <c r="F32" s="44"/>
      <c r="J32" s="13"/>
      <c r="K32" s="11"/>
      <c r="L32" s="11"/>
      <c r="M32" s="13"/>
    </row>
    <row r="33" spans="2:14" x14ac:dyDescent="0.3">
      <c r="J33" s="13"/>
      <c r="K33" s="13"/>
      <c r="M33" s="13"/>
    </row>
    <row r="34" spans="2:14" ht="16.8" customHeight="1" x14ac:dyDescent="0.3">
      <c r="B34" s="82" t="s">
        <v>34</v>
      </c>
      <c r="C34" s="8">
        <v>13884.1</v>
      </c>
      <c r="D34" s="8">
        <v>14213.8</v>
      </c>
      <c r="E34" s="8">
        <v>15271.2</v>
      </c>
      <c r="F34" s="8">
        <v>16394.400000000001</v>
      </c>
      <c r="G34" s="8">
        <v>17536</v>
      </c>
      <c r="H34" s="8">
        <v>21325.4</v>
      </c>
      <c r="I34" s="8">
        <v>24138.9</v>
      </c>
      <c r="J34" s="8">
        <v>27836.2</v>
      </c>
      <c r="K34" s="8">
        <v>32270.9</v>
      </c>
      <c r="L34" s="8">
        <v>34993.800000000003</v>
      </c>
      <c r="M34" s="13"/>
      <c r="N34" s="13"/>
    </row>
    <row r="35" spans="2:14" ht="43.2" x14ac:dyDescent="0.3">
      <c r="B35" s="7" t="s">
        <v>32</v>
      </c>
      <c r="C35" s="8">
        <f>24075287381/1000000</f>
        <v>24075.287380999998</v>
      </c>
      <c r="D35" s="8">
        <f>24389810599/1000000</f>
        <v>24389.810599</v>
      </c>
      <c r="E35" s="8">
        <f>28783112157/1000000</f>
        <v>28783.112157</v>
      </c>
      <c r="F35" s="8">
        <f>52071331209/1000000</f>
        <v>52071.331209000004</v>
      </c>
      <c r="G35" s="8">
        <f>44283156662/1000000</f>
        <v>44283.156662000001</v>
      </c>
      <c r="H35" s="8">
        <f>43079289042/1000000</f>
        <v>43079.289041999997</v>
      </c>
      <c r="I35" s="8">
        <f>42884109155/1000000</f>
        <v>42884.109154999998</v>
      </c>
      <c r="J35" s="8">
        <f>57148528185/1000000</f>
        <v>57148.528185000003</v>
      </c>
      <c r="K35" s="8">
        <f>52565295917/1000000</f>
        <v>52565.295917000003</v>
      </c>
      <c r="L35" s="8">
        <f>60275103241/1000000</f>
        <v>60275.103240999997</v>
      </c>
      <c r="M35" s="29" t="s">
        <v>36</v>
      </c>
    </row>
    <row r="36" spans="2:14" ht="28.8" x14ac:dyDescent="0.3">
      <c r="B36" s="81" t="s">
        <v>33</v>
      </c>
      <c r="C36" s="31">
        <f>16325995509/1000000</f>
        <v>16325.995509</v>
      </c>
      <c r="D36" s="31">
        <f>16796952599/1000000</f>
        <v>16796.952599</v>
      </c>
      <c r="E36" s="31">
        <f>17773665816/1000000</f>
        <v>17773.665816000001</v>
      </c>
      <c r="F36" s="31">
        <f>19075583435/1000000</f>
        <v>19075.583435</v>
      </c>
      <c r="G36" s="31">
        <f>20242223265/1000000</f>
        <v>20242.223265000001</v>
      </c>
      <c r="H36" s="31">
        <f>24694137215/1000000</f>
        <v>24694.137214999999</v>
      </c>
      <c r="I36" s="31">
        <f>27040049120/1000000</f>
        <v>27040.04912</v>
      </c>
      <c r="J36" s="31">
        <f>36019616235/1000000</f>
        <v>36019.616235000001</v>
      </c>
      <c r="K36" s="32">
        <f>38148027057/1000000</f>
        <v>38148.027056999999</v>
      </c>
      <c r="L36" s="32">
        <f>39291157376/1000000</f>
        <v>39291.157376000003</v>
      </c>
    </row>
    <row r="37" spans="2:14" x14ac:dyDescent="0.3">
      <c r="B37" s="5" t="s">
        <v>6</v>
      </c>
      <c r="C37" s="31">
        <f>16025513291/1000000</f>
        <v>16025.513290999999</v>
      </c>
      <c r="D37" s="31">
        <f>17305899654/1000000</f>
        <v>17305.899654000001</v>
      </c>
      <c r="E37" s="31">
        <f>18063322124/1000000</f>
        <v>18063.322123999998</v>
      </c>
      <c r="F37" s="31">
        <f>20968085153/1000000</f>
        <v>20968.085153</v>
      </c>
      <c r="G37" s="31">
        <f>22621932322/1000000</f>
        <v>22621.932322000001</v>
      </c>
      <c r="H37" s="31">
        <f>29462268375/1000000</f>
        <v>29462.268375</v>
      </c>
      <c r="I37" s="32">
        <f>32231029824/1000000</f>
        <v>32231.029824000001</v>
      </c>
      <c r="J37" s="31">
        <f>36995099121/1000000</f>
        <v>36995.099120999999</v>
      </c>
      <c r="K37" s="5"/>
      <c r="L37" s="5"/>
    </row>
    <row r="38" spans="2:14" x14ac:dyDescent="0.3">
      <c r="F38" s="6"/>
      <c r="M38" s="13"/>
    </row>
    <row r="39" spans="2:14" x14ac:dyDescent="0.3">
      <c r="M39" s="13"/>
    </row>
    <row r="40" spans="2:14" x14ac:dyDescent="0.3">
      <c r="M40" s="13"/>
    </row>
    <row r="41" spans="2:14" x14ac:dyDescent="0.3">
      <c r="B41" s="20"/>
      <c r="C41" s="20">
        <v>2013</v>
      </c>
      <c r="D41" s="20">
        <v>2014</v>
      </c>
      <c r="E41" s="20">
        <v>2015</v>
      </c>
      <c r="F41" s="20">
        <v>2016</v>
      </c>
      <c r="G41" s="20">
        <v>2017</v>
      </c>
      <c r="H41" s="20">
        <v>2018</v>
      </c>
      <c r="I41" s="20">
        <v>2019</v>
      </c>
      <c r="J41" s="20">
        <v>2020</v>
      </c>
      <c r="K41" s="20">
        <v>2021</v>
      </c>
      <c r="L41" s="20">
        <v>2022</v>
      </c>
    </row>
    <row r="42" spans="2:14" ht="72" x14ac:dyDescent="0.3">
      <c r="B42" s="21" t="s">
        <v>9</v>
      </c>
      <c r="C42" s="21">
        <v>140.82499999999999</v>
      </c>
      <c r="D42" s="21">
        <v>141.94999999999999</v>
      </c>
      <c r="E42" s="21">
        <v>145.47499999999999</v>
      </c>
      <c r="F42" s="21">
        <v>146.69999999999999</v>
      </c>
      <c r="G42" s="21">
        <v>151.22499999999999</v>
      </c>
      <c r="H42" s="21">
        <v>154.75</v>
      </c>
      <c r="I42" s="21">
        <v>159</v>
      </c>
      <c r="J42" s="21">
        <v>167.5</v>
      </c>
      <c r="K42" s="21">
        <v>172.53399999999999</v>
      </c>
      <c r="L42" s="45">
        <v>180.88399999999999</v>
      </c>
      <c r="M42" s="83" t="s">
        <v>35</v>
      </c>
    </row>
    <row r="43" spans="2:14" x14ac:dyDescent="0.3">
      <c r="B43" s="21" t="s">
        <v>10</v>
      </c>
      <c r="C43" s="22">
        <f>C42/$K$42</f>
        <v>0.81621593425064043</v>
      </c>
      <c r="D43" s="22">
        <f t="shared" ref="D43:K43" si="0">D42/$K$42</f>
        <v>0.82273638819015382</v>
      </c>
      <c r="E43" s="22">
        <f t="shared" si="0"/>
        <v>0.84316714386729574</v>
      </c>
      <c r="F43" s="22">
        <f t="shared" si="0"/>
        <v>0.85026719371254356</v>
      </c>
      <c r="G43" s="22">
        <f t="shared" si="0"/>
        <v>0.87649390844703079</v>
      </c>
      <c r="H43" s="22">
        <f t="shared" si="0"/>
        <v>0.89692466412417271</v>
      </c>
      <c r="I43" s="22">
        <f t="shared" si="0"/>
        <v>0.9215574901178899</v>
      </c>
      <c r="J43" s="22">
        <f t="shared" si="0"/>
        <v>0.97082314210532417</v>
      </c>
      <c r="K43" s="22">
        <f t="shared" si="0"/>
        <v>1</v>
      </c>
      <c r="L43" s="22">
        <f>L42/$K$42</f>
        <v>1.0483962581288326</v>
      </c>
      <c r="M43" t="s">
        <v>41</v>
      </c>
    </row>
    <row r="44" spans="2:14" ht="14.25" customHeight="1" x14ac:dyDescent="0.3"/>
    <row r="45" spans="2:14" ht="14.25" customHeight="1" x14ac:dyDescent="0.3"/>
    <row r="47" spans="2:14" x14ac:dyDescent="0.3">
      <c r="B47" s="19" t="s">
        <v>26</v>
      </c>
    </row>
    <row r="48" spans="2:14" x14ac:dyDescent="0.3">
      <c r="B48" s="3"/>
      <c r="C48" s="46">
        <v>2013</v>
      </c>
      <c r="D48" s="46">
        <v>2014</v>
      </c>
      <c r="E48" s="46">
        <v>2015</v>
      </c>
      <c r="F48" s="46">
        <v>2016</v>
      </c>
      <c r="G48" s="46">
        <v>2017</v>
      </c>
      <c r="H48" s="46">
        <v>2018</v>
      </c>
      <c r="I48" s="46">
        <v>2019</v>
      </c>
      <c r="J48" s="46">
        <v>2020</v>
      </c>
      <c r="K48" s="46">
        <v>2021</v>
      </c>
      <c r="L48" s="46">
        <v>2022</v>
      </c>
    </row>
    <row r="49" spans="2:12" x14ac:dyDescent="0.3">
      <c r="B49" s="3" t="s">
        <v>4</v>
      </c>
      <c r="C49" s="14">
        <f t="shared" ref="C49:L49" si="1">C4/C43</f>
        <v>50.198294692220841</v>
      </c>
      <c r="D49" s="14">
        <f t="shared" si="1"/>
        <v>44.368032730750265</v>
      </c>
      <c r="E49" s="14">
        <f t="shared" si="1"/>
        <v>43.292952370716613</v>
      </c>
      <c r="F49" s="14">
        <f t="shared" si="1"/>
        <v>42.931439987252901</v>
      </c>
      <c r="G49" s="14">
        <f t="shared" si="1"/>
        <v>41.64683250871218</v>
      </c>
      <c r="H49" s="14">
        <f t="shared" si="1"/>
        <v>43.485474934604191</v>
      </c>
      <c r="I49" s="14">
        <f t="shared" si="1"/>
        <v>78.566839048465397</v>
      </c>
      <c r="J49" s="14">
        <f t="shared" si="1"/>
        <v>62.206859705707458</v>
      </c>
      <c r="K49" s="14">
        <f t="shared" si="1"/>
        <v>61.934446999999999</v>
      </c>
      <c r="L49" s="14">
        <f t="shared" si="1"/>
        <v>66.549999066694667</v>
      </c>
    </row>
    <row r="50" spans="2:12" x14ac:dyDescent="0.3">
      <c r="B50" s="3" t="s">
        <v>5</v>
      </c>
      <c r="C50" s="14">
        <f t="shared" ref="C50:J50" si="2">C5/C43</f>
        <v>39.252280745308006</v>
      </c>
      <c r="D50" s="14">
        <f t="shared" si="2"/>
        <v>42.90069760697429</v>
      </c>
      <c r="E50" s="14">
        <f t="shared" si="2"/>
        <v>42.682406758563324</v>
      </c>
      <c r="F50" s="14">
        <f t="shared" si="2"/>
        <v>38.908131755092022</v>
      </c>
      <c r="G50" s="14">
        <f t="shared" si="2"/>
        <v>40.380082119120516</v>
      </c>
      <c r="H50" s="14">
        <f t="shared" si="2"/>
        <v>63.334257906119539</v>
      </c>
      <c r="I50" s="14">
        <f t="shared" si="2"/>
        <v>64.535669925911947</v>
      </c>
      <c r="J50" s="14">
        <f t="shared" si="2"/>
        <v>74.911358048477609</v>
      </c>
      <c r="K50" s="14"/>
      <c r="L50" s="14"/>
    </row>
    <row r="51" spans="2:12" x14ac:dyDescent="0.3">
      <c r="B51" s="47" t="s">
        <v>37</v>
      </c>
      <c r="C51" s="47">
        <v>0</v>
      </c>
      <c r="D51" s="47">
        <f>1*(MOD(D49,1)&lt;=1)</f>
        <v>1</v>
      </c>
      <c r="E51" s="47">
        <f>1*(MOD(2015,1)&lt;=1)</f>
        <v>1</v>
      </c>
      <c r="F51" s="47">
        <f>1*(MOD(2016,1)&lt;=1)</f>
        <v>1</v>
      </c>
      <c r="G51" s="47">
        <v>0</v>
      </c>
      <c r="H51" s="47">
        <v>0</v>
      </c>
      <c r="I51" s="47">
        <v>0</v>
      </c>
      <c r="J51" s="47">
        <v>0</v>
      </c>
      <c r="K51" s="47">
        <f>1*(MOD(2021,1)&lt;=1)</f>
        <v>1</v>
      </c>
      <c r="L51" s="47">
        <v>0</v>
      </c>
    </row>
    <row r="52" spans="2:12" x14ac:dyDescent="0.3">
      <c r="B52" s="6"/>
      <c r="C52" s="26"/>
      <c r="D52" s="26"/>
      <c r="E52" s="26"/>
      <c r="F52" s="26"/>
      <c r="G52" s="26"/>
      <c r="H52" s="26"/>
      <c r="I52" s="26"/>
      <c r="J52" s="26"/>
      <c r="K52" s="26"/>
      <c r="L52" s="26"/>
    </row>
    <row r="53" spans="2:12" x14ac:dyDescent="0.3">
      <c r="B53" s="6"/>
      <c r="C53" s="26"/>
      <c r="D53" s="26"/>
      <c r="E53" s="26"/>
      <c r="F53" s="26"/>
      <c r="G53" s="26"/>
      <c r="H53" s="26"/>
      <c r="I53" s="26"/>
      <c r="J53" s="26"/>
      <c r="K53" s="26"/>
      <c r="L53" s="26"/>
    </row>
    <row r="54" spans="2:12" x14ac:dyDescent="0.3">
      <c r="B54" s="19" t="s">
        <v>22</v>
      </c>
      <c r="D54" s="13"/>
      <c r="E54" s="13"/>
      <c r="F54" s="13"/>
      <c r="G54" s="13"/>
      <c r="H54" s="13"/>
      <c r="I54" s="13"/>
      <c r="J54" s="13"/>
      <c r="K54" s="13"/>
      <c r="L54" s="13"/>
    </row>
    <row r="55" spans="2:12" x14ac:dyDescent="0.3">
      <c r="B55" s="2"/>
      <c r="C55" s="48">
        <v>2013</v>
      </c>
      <c r="D55" s="48">
        <v>2014</v>
      </c>
      <c r="E55" s="48">
        <v>2015</v>
      </c>
      <c r="F55" s="48">
        <v>2016</v>
      </c>
      <c r="G55" s="48">
        <v>2017</v>
      </c>
      <c r="H55" s="48">
        <v>2018</v>
      </c>
      <c r="I55" s="48">
        <v>2019</v>
      </c>
      <c r="J55" s="48">
        <v>2020</v>
      </c>
      <c r="K55" s="48">
        <v>2021</v>
      </c>
      <c r="L55" s="48">
        <v>2022</v>
      </c>
    </row>
    <row r="56" spans="2:12" x14ac:dyDescent="0.3">
      <c r="B56" s="2" t="s">
        <v>4</v>
      </c>
      <c r="C56" s="15">
        <f t="shared" ref="C56:L56" si="3">C9/C43</f>
        <v>39.898184577709927</v>
      </c>
      <c r="D56" s="15">
        <f t="shared" si="3"/>
        <v>39.297507031532227</v>
      </c>
      <c r="E56" s="15">
        <f t="shared" si="3"/>
        <v>43.089308287513312</v>
      </c>
      <c r="F56" s="15">
        <f t="shared" si="3"/>
        <v>38.025092863844584</v>
      </c>
      <c r="G56" s="15">
        <f t="shared" si="3"/>
        <v>39.169113064149442</v>
      </c>
      <c r="H56" s="15">
        <f t="shared" si="3"/>
        <v>55.000705157518574</v>
      </c>
      <c r="I56" s="15">
        <f t="shared" si="3"/>
        <v>89.10536442983647</v>
      </c>
      <c r="J56" s="15">
        <f t="shared" si="3"/>
        <v>98.284653364441795</v>
      </c>
      <c r="K56" s="15">
        <f t="shared" si="3"/>
        <v>90.683636000000007</v>
      </c>
      <c r="L56" s="15">
        <f t="shared" si="3"/>
        <v>86.497481555162423</v>
      </c>
    </row>
    <row r="57" spans="2:12" x14ac:dyDescent="0.3">
      <c r="B57" s="2" t="s">
        <v>5</v>
      </c>
      <c r="C57" s="15">
        <f t="shared" ref="C57:J57" si="4">C10/C43</f>
        <v>28.645746816332331</v>
      </c>
      <c r="D57" s="15">
        <f t="shared" si="4"/>
        <v>35.266481969792181</v>
      </c>
      <c r="E57" s="15">
        <f t="shared" si="4"/>
        <v>39.649049708774704</v>
      </c>
      <c r="F57" s="15">
        <f t="shared" si="4"/>
        <v>33.782886382549421</v>
      </c>
      <c r="G57" s="15">
        <f t="shared" si="4"/>
        <v>40.640417071595301</v>
      </c>
      <c r="H57" s="15">
        <f t="shared" si="4"/>
        <v>59.24332346450403</v>
      </c>
      <c r="I57" s="15">
        <f t="shared" si="4"/>
        <v>79.96821228220125</v>
      </c>
      <c r="J57" s="15">
        <f t="shared" si="4"/>
        <v>69.777497117647755</v>
      </c>
      <c r="K57" s="15"/>
      <c r="L57" s="15"/>
    </row>
    <row r="58" spans="2:12" x14ac:dyDescent="0.3">
      <c r="B58" s="49" t="s">
        <v>37</v>
      </c>
      <c r="C58" s="49">
        <v>0</v>
      </c>
      <c r="D58" s="49">
        <f>1*(MOD(D56,1)&lt;=1)</f>
        <v>1</v>
      </c>
      <c r="E58" s="49">
        <f>1*(MOD(2015,1)&lt;=1)</f>
        <v>1</v>
      </c>
      <c r="F58" s="49">
        <f>1*(MOD(2016,1)&lt;=1)</f>
        <v>1</v>
      </c>
      <c r="G58" s="49">
        <v>0</v>
      </c>
      <c r="H58" s="49">
        <v>0</v>
      </c>
      <c r="I58" s="49">
        <v>0</v>
      </c>
      <c r="J58" s="49">
        <v>0</v>
      </c>
      <c r="K58" s="49">
        <f>1*(MOD(2021,1)&lt;=1)</f>
        <v>1</v>
      </c>
      <c r="L58" s="49">
        <v>0</v>
      </c>
    </row>
    <row r="59" spans="2:12" x14ac:dyDescent="0.3">
      <c r="C59" s="13"/>
      <c r="D59" s="13"/>
      <c r="E59" s="13"/>
      <c r="F59" s="13"/>
      <c r="G59" s="13"/>
      <c r="H59" s="13"/>
      <c r="I59" s="13"/>
      <c r="J59" s="13"/>
      <c r="K59" s="13"/>
      <c r="L59" s="13"/>
    </row>
    <row r="60" spans="2:12" x14ac:dyDescent="0.3">
      <c r="C60" s="13"/>
      <c r="D60" s="13"/>
      <c r="E60" s="13"/>
      <c r="F60" s="13"/>
      <c r="G60" s="13"/>
      <c r="H60" s="13"/>
      <c r="I60" s="13"/>
      <c r="J60" s="13"/>
      <c r="K60" s="13"/>
      <c r="L60" s="13"/>
    </row>
    <row r="61" spans="2:12" x14ac:dyDescent="0.3">
      <c r="B61" s="19" t="s">
        <v>21</v>
      </c>
      <c r="D61" s="13"/>
      <c r="E61" s="13"/>
      <c r="F61" s="13"/>
      <c r="G61" s="13"/>
      <c r="H61" s="13"/>
      <c r="I61" s="13"/>
      <c r="J61" s="13"/>
      <c r="K61" s="13"/>
      <c r="L61" s="13"/>
    </row>
    <row r="62" spans="2:12" x14ac:dyDescent="0.3">
      <c r="B62" s="4"/>
      <c r="C62" s="50">
        <v>2013</v>
      </c>
      <c r="D62" s="50">
        <v>2014</v>
      </c>
      <c r="E62" s="50">
        <v>2015</v>
      </c>
      <c r="F62" s="50">
        <v>2016</v>
      </c>
      <c r="G62" s="50">
        <v>2017</v>
      </c>
      <c r="H62" s="50">
        <v>2018</v>
      </c>
      <c r="I62" s="50">
        <v>2019</v>
      </c>
      <c r="J62" s="50">
        <v>2020</v>
      </c>
      <c r="K62" s="50">
        <v>2021</v>
      </c>
      <c r="L62" s="50">
        <v>2022</v>
      </c>
    </row>
    <row r="63" spans="2:12" x14ac:dyDescent="0.3">
      <c r="B63" s="4" t="s">
        <v>4</v>
      </c>
      <c r="C63" s="16">
        <f t="shared" ref="C63:L63" si="5">C14/C43</f>
        <v>45.884343135721643</v>
      </c>
      <c r="D63" s="16">
        <f t="shared" si="5"/>
        <v>44.12579839802747</v>
      </c>
      <c r="E63" s="16">
        <f t="shared" si="5"/>
        <v>45.42859654648565</v>
      </c>
      <c r="F63" s="16">
        <f t="shared" si="5"/>
        <v>50.929755164280849</v>
      </c>
      <c r="G63" s="16">
        <f t="shared" si="5"/>
        <v>59.674002860638119</v>
      </c>
      <c r="H63" s="16">
        <f t="shared" si="5"/>
        <v>80.583914001938595</v>
      </c>
      <c r="I63" s="16">
        <f t="shared" si="5"/>
        <v>108.79234456352199</v>
      </c>
      <c r="J63" s="16">
        <f t="shared" si="5"/>
        <v>105.41088027431643</v>
      </c>
      <c r="K63" s="16">
        <f t="shared" si="5"/>
        <v>105.26399000000001</v>
      </c>
      <c r="L63" s="16">
        <f t="shared" si="5"/>
        <v>112.46380658629839</v>
      </c>
    </row>
    <row r="64" spans="2:12" x14ac:dyDescent="0.3">
      <c r="B64" s="4" t="s">
        <v>5</v>
      </c>
      <c r="C64" s="16">
        <f t="shared" ref="C64:J64" si="6">C15/C43</f>
        <v>44.383066391933248</v>
      </c>
      <c r="D64" s="16">
        <f t="shared" si="6"/>
        <v>42.412986104529757</v>
      </c>
      <c r="E64" s="16">
        <f t="shared" si="6"/>
        <v>44.597692490159822</v>
      </c>
      <c r="F64" s="16">
        <f t="shared" si="6"/>
        <v>51.684247404771646</v>
      </c>
      <c r="G64" s="16">
        <f t="shared" si="6"/>
        <v>84.595358034346177</v>
      </c>
      <c r="H64" s="16">
        <f t="shared" si="6"/>
        <v>70.39100553852019</v>
      </c>
      <c r="I64" s="16">
        <f t="shared" si="6"/>
        <v>89.239972418301889</v>
      </c>
      <c r="J64" s="16">
        <f t="shared" si="6"/>
        <v>122.41924594243582</v>
      </c>
      <c r="K64" s="16"/>
      <c r="L64" s="16"/>
    </row>
    <row r="65" spans="2:12" x14ac:dyDescent="0.3">
      <c r="B65" s="51" t="s">
        <v>37</v>
      </c>
      <c r="C65" s="51">
        <v>0</v>
      </c>
      <c r="D65" s="51">
        <f>1*(MOD(D63,1)&lt;=1)</f>
        <v>1</v>
      </c>
      <c r="E65" s="51">
        <f>1*(MOD(2015,1)&lt;=1)</f>
        <v>1</v>
      </c>
      <c r="F65" s="51">
        <f>1*(MOD(2016,1)&lt;=1)</f>
        <v>1</v>
      </c>
      <c r="G65" s="51">
        <v>0</v>
      </c>
      <c r="H65" s="51">
        <v>0</v>
      </c>
      <c r="I65" s="51">
        <v>0</v>
      </c>
      <c r="J65" s="51">
        <v>0</v>
      </c>
      <c r="K65" s="51">
        <f>1*(MOD(2021,1)&lt;=1)</f>
        <v>1</v>
      </c>
      <c r="L65" s="51">
        <v>0</v>
      </c>
    </row>
    <row r="66" spans="2:12" ht="16.5" customHeight="1" x14ac:dyDescent="0.3">
      <c r="C66" s="13"/>
      <c r="D66" s="13"/>
      <c r="E66" s="13"/>
      <c r="F66" s="13"/>
      <c r="G66" s="13"/>
      <c r="H66" s="13"/>
      <c r="I66" s="13"/>
      <c r="J66" s="13"/>
      <c r="K66" s="13"/>
      <c r="L66" s="13"/>
    </row>
    <row r="67" spans="2:12" ht="16.5" customHeight="1" x14ac:dyDescent="0.3">
      <c r="B67" s="19" t="s">
        <v>43</v>
      </c>
      <c r="D67" s="13"/>
      <c r="E67" s="13"/>
      <c r="F67" s="13"/>
      <c r="G67" s="13"/>
      <c r="H67" s="13"/>
      <c r="I67" s="13"/>
      <c r="J67" s="13"/>
      <c r="K67" s="13"/>
      <c r="L67" s="13"/>
    </row>
    <row r="68" spans="2:12" ht="16.5" customHeight="1" x14ac:dyDescent="0.3">
      <c r="B68" s="3"/>
      <c r="C68" s="46">
        <v>2013</v>
      </c>
      <c r="D68" s="46">
        <v>2014</v>
      </c>
      <c r="E68" s="46">
        <v>2015</v>
      </c>
      <c r="F68" s="46">
        <v>2016</v>
      </c>
      <c r="G68" s="46">
        <v>2017</v>
      </c>
      <c r="H68" s="46">
        <v>2018</v>
      </c>
      <c r="I68" s="46">
        <v>2019</v>
      </c>
      <c r="J68" s="46">
        <v>2020</v>
      </c>
      <c r="K68" s="46">
        <v>2021</v>
      </c>
      <c r="L68" s="46">
        <v>2022</v>
      </c>
    </row>
    <row r="69" spans="2:12" ht="16.5" customHeight="1" x14ac:dyDescent="0.3">
      <c r="B69" s="3" t="s">
        <v>4</v>
      </c>
      <c r="C69" s="14">
        <f>C19/C43</f>
        <v>12.349675590754483</v>
      </c>
      <c r="D69" s="14"/>
      <c r="E69" s="14">
        <f t="shared" ref="E69:L69" si="7">E19/E43</f>
        <v>14.764571995655611</v>
      </c>
      <c r="F69" s="14">
        <f t="shared" si="7"/>
        <v>19.99371506475801</v>
      </c>
      <c r="G69" s="14">
        <f t="shared" si="7"/>
        <v>30.174911365739788</v>
      </c>
      <c r="H69" s="14">
        <f t="shared" si="7"/>
        <v>44.130725336504035</v>
      </c>
      <c r="I69" s="14">
        <f t="shared" si="7"/>
        <v>46.152961107786155</v>
      </c>
      <c r="J69" s="14">
        <f t="shared" si="7"/>
        <v>51.751944119343285</v>
      </c>
      <c r="K69" s="14">
        <f t="shared" si="7"/>
        <v>55.456631999999999</v>
      </c>
      <c r="L69" s="14">
        <f t="shared" si="7"/>
        <v>53.40342600986267</v>
      </c>
    </row>
    <row r="70" spans="2:12" ht="16.5" customHeight="1" x14ac:dyDescent="0.3">
      <c r="B70" s="3" t="s">
        <v>5</v>
      </c>
      <c r="C70" s="14">
        <f t="shared" ref="C70:J70" si="8">C20/C43</f>
        <v>11.775232014826912</v>
      </c>
      <c r="D70" s="14">
        <f t="shared" si="8"/>
        <v>12.638206051482916</v>
      </c>
      <c r="E70" s="14">
        <f t="shared" si="8"/>
        <v>13.258791072816635</v>
      </c>
      <c r="F70" s="14">
        <f t="shared" si="8"/>
        <v>21.48435119581459</v>
      </c>
      <c r="G70" s="14">
        <f t="shared" si="8"/>
        <v>32.099629819275911</v>
      </c>
      <c r="H70" s="14">
        <f t="shared" si="8"/>
        <v>47.945140456129238</v>
      </c>
      <c r="I70" s="14">
        <f t="shared" si="8"/>
        <v>49.397095122276724</v>
      </c>
      <c r="J70" s="14">
        <f t="shared" si="8"/>
        <v>52.343427753277616</v>
      </c>
      <c r="K70" s="14"/>
      <c r="L70" s="14"/>
    </row>
    <row r="71" spans="2:12" x14ac:dyDescent="0.3">
      <c r="B71" s="47" t="s">
        <v>37</v>
      </c>
      <c r="C71" s="47">
        <v>0</v>
      </c>
      <c r="D71" s="47">
        <f>1*(MOD(D69,1)&lt;=1)</f>
        <v>1</v>
      </c>
      <c r="E71" s="47">
        <f>1*(MOD(2015,1)&lt;=1)</f>
        <v>1</v>
      </c>
      <c r="F71" s="47">
        <f>1*(MOD(2016,1)&lt;=1)</f>
        <v>1</v>
      </c>
      <c r="G71" s="47">
        <v>0</v>
      </c>
      <c r="H71" s="47">
        <v>0</v>
      </c>
      <c r="I71" s="47">
        <v>0</v>
      </c>
      <c r="J71" s="47">
        <v>0</v>
      </c>
      <c r="K71" s="47">
        <f>1*(MOD(2021,1)&lt;=1)</f>
        <v>1</v>
      </c>
      <c r="L71" s="47">
        <v>0</v>
      </c>
    </row>
    <row r="72" spans="2:12" x14ac:dyDescent="0.3">
      <c r="C72" s="13"/>
      <c r="D72" s="13"/>
      <c r="E72" s="13"/>
      <c r="F72" s="13"/>
      <c r="G72" s="13"/>
      <c r="H72" s="13"/>
      <c r="I72" s="13"/>
      <c r="J72" s="13"/>
      <c r="K72" s="13"/>
      <c r="L72" s="13"/>
    </row>
    <row r="73" spans="2:12" x14ac:dyDescent="0.3">
      <c r="B73" s="19" t="s">
        <v>20</v>
      </c>
      <c r="D73" s="13"/>
      <c r="E73" s="13"/>
      <c r="F73" s="13"/>
      <c r="G73" s="13"/>
      <c r="H73" s="13"/>
      <c r="I73" s="13"/>
      <c r="J73" s="13"/>
      <c r="K73" s="13"/>
      <c r="L73" s="13"/>
    </row>
    <row r="74" spans="2:12" x14ac:dyDescent="0.3">
      <c r="B74" s="9"/>
      <c r="C74" s="52">
        <v>2013</v>
      </c>
      <c r="D74" s="52">
        <v>2014</v>
      </c>
      <c r="E74" s="52">
        <v>2015</v>
      </c>
      <c r="F74" s="52">
        <v>2016</v>
      </c>
      <c r="G74" s="52">
        <v>2017</v>
      </c>
      <c r="H74" s="52">
        <v>2018</v>
      </c>
      <c r="I74" s="52">
        <v>2019</v>
      </c>
      <c r="J74" s="52">
        <v>2020</v>
      </c>
      <c r="K74" s="52">
        <v>2021</v>
      </c>
      <c r="L74" s="52">
        <v>2022</v>
      </c>
    </row>
    <row r="75" spans="2:12" x14ac:dyDescent="0.3">
      <c r="B75" s="9" t="s">
        <v>4</v>
      </c>
      <c r="C75" s="17">
        <f t="shared" ref="C75:L75" si="9">C24/C43</f>
        <v>7.1722785041860471</v>
      </c>
      <c r="D75" s="17">
        <f t="shared" si="9"/>
        <v>8.9919166165410349</v>
      </c>
      <c r="E75" s="17">
        <f t="shared" si="9"/>
        <v>9.7448685705585145</v>
      </c>
      <c r="F75" s="17">
        <f t="shared" si="9"/>
        <v>9.781105353115203</v>
      </c>
      <c r="G75" s="17">
        <f t="shared" si="9"/>
        <v>9.6025002785385993</v>
      </c>
      <c r="H75" s="17">
        <f t="shared" si="9"/>
        <v>9.6067522108045225</v>
      </c>
      <c r="I75" s="17">
        <f t="shared" si="9"/>
        <v>23.77312455807547</v>
      </c>
      <c r="J75" s="17">
        <f t="shared" si="9"/>
        <v>12.781216744680597</v>
      </c>
      <c r="K75" s="17">
        <f t="shared" si="9"/>
        <v>13.408301</v>
      </c>
      <c r="L75" s="17">
        <f t="shared" si="9"/>
        <v>12.789344578481236</v>
      </c>
    </row>
    <row r="76" spans="2:12" x14ac:dyDescent="0.3">
      <c r="B76" s="9" t="s">
        <v>5</v>
      </c>
      <c r="C76" s="17">
        <f t="shared" ref="C76:J76" si="10">C25/C43</f>
        <v>7.2037542435363049</v>
      </c>
      <c r="D76" s="17">
        <f t="shared" si="10"/>
        <v>7.6207921394998239</v>
      </c>
      <c r="E76" s="17">
        <f t="shared" si="10"/>
        <v>8.1943005609898609</v>
      </c>
      <c r="F76" s="17">
        <f t="shared" si="10"/>
        <v>8.5544215439400144</v>
      </c>
      <c r="G76" s="17">
        <f t="shared" si="10"/>
        <v>9.2627580428765075</v>
      </c>
      <c r="H76" s="17">
        <f t="shared" si="10"/>
        <v>12.155869312219707</v>
      </c>
      <c r="I76" s="17">
        <f t="shared" si="10"/>
        <v>24.166707165660377</v>
      </c>
      <c r="J76" s="17">
        <f t="shared" si="10"/>
        <v>13.194310523152238</v>
      </c>
      <c r="K76" s="17"/>
      <c r="L76" s="17"/>
    </row>
    <row r="77" spans="2:12" x14ac:dyDescent="0.3">
      <c r="B77" s="53" t="s">
        <v>37</v>
      </c>
      <c r="C77" s="53">
        <v>0</v>
      </c>
      <c r="D77" s="53">
        <f>1*(MOD(D75,1)&lt;=1)</f>
        <v>1</v>
      </c>
      <c r="E77" s="53">
        <f>1*(MOD(2015,1)&lt;=1)</f>
        <v>1</v>
      </c>
      <c r="F77" s="53">
        <f>1*(MOD(2016,1)&lt;=1)</f>
        <v>1</v>
      </c>
      <c r="G77" s="53">
        <v>0</v>
      </c>
      <c r="H77" s="53">
        <v>0</v>
      </c>
      <c r="I77" s="53">
        <v>0</v>
      </c>
      <c r="J77" s="53">
        <v>0</v>
      </c>
      <c r="K77" s="53">
        <f>1*(MOD(2021,1)&lt;=1)</f>
        <v>1</v>
      </c>
      <c r="L77" s="53">
        <v>0</v>
      </c>
    </row>
    <row r="78" spans="2:12" x14ac:dyDescent="0.3">
      <c r="C78" s="13"/>
      <c r="D78" s="13"/>
      <c r="E78" s="13"/>
      <c r="F78" s="13"/>
      <c r="G78" s="13"/>
      <c r="H78" s="13"/>
      <c r="I78" s="13"/>
      <c r="J78" s="13"/>
      <c r="K78" s="13"/>
      <c r="L78" s="13"/>
    </row>
    <row r="79" spans="2:12" x14ac:dyDescent="0.3">
      <c r="C79" s="13"/>
      <c r="D79" s="13"/>
      <c r="E79" s="13"/>
      <c r="F79" s="13"/>
      <c r="G79" s="13"/>
      <c r="H79" s="13"/>
      <c r="I79" s="13"/>
      <c r="J79" s="13"/>
      <c r="K79" s="13"/>
      <c r="L79" s="13"/>
    </row>
    <row r="80" spans="2:12" x14ac:dyDescent="0.3">
      <c r="B80" s="19" t="s">
        <v>19</v>
      </c>
      <c r="C80" s="13"/>
      <c r="E80" s="13"/>
      <c r="F80" s="13"/>
      <c r="G80" s="13"/>
      <c r="H80" s="13"/>
      <c r="I80" s="13"/>
      <c r="J80" s="13"/>
      <c r="K80" s="13"/>
      <c r="L80" s="13"/>
    </row>
    <row r="81" spans="2:12" x14ac:dyDescent="0.3">
      <c r="B81" s="10"/>
      <c r="C81" s="34">
        <v>2013</v>
      </c>
      <c r="D81" s="34">
        <v>2014</v>
      </c>
      <c r="E81" s="34">
        <v>2015</v>
      </c>
      <c r="F81" s="34">
        <v>2016</v>
      </c>
      <c r="G81" s="34">
        <v>2017</v>
      </c>
      <c r="H81" s="34">
        <v>2018</v>
      </c>
      <c r="I81" s="34">
        <v>2019</v>
      </c>
      <c r="J81" s="34">
        <v>2020</v>
      </c>
      <c r="K81" s="34">
        <v>2021</v>
      </c>
      <c r="L81" s="34">
        <v>2022</v>
      </c>
    </row>
    <row r="82" spans="2:12" x14ac:dyDescent="0.3">
      <c r="B82" s="10" t="s">
        <v>4</v>
      </c>
      <c r="C82" s="18">
        <f t="shared" ref="C82:L82" si="11">C29/C43</f>
        <v>994.67246464058235</v>
      </c>
      <c r="D82" s="18">
        <f t="shared" si="11"/>
        <v>1042.125748061402</v>
      </c>
      <c r="E82" s="18">
        <f t="shared" si="11"/>
        <v>1101.382552385317</v>
      </c>
      <c r="F82" s="18">
        <f t="shared" si="11"/>
        <v>1129.52679828394</v>
      </c>
      <c r="G82" s="18">
        <f t="shared" si="11"/>
        <v>1101.946712569046</v>
      </c>
      <c r="H82" s="18">
        <f t="shared" si="11"/>
        <v>1121.4426598271662</v>
      </c>
      <c r="I82" s="18">
        <f t="shared" si="11"/>
        <v>1409.1570921244149</v>
      </c>
      <c r="J82" s="18">
        <f t="shared" si="11"/>
        <v>1572.3189701573851</v>
      </c>
      <c r="K82" s="18">
        <f t="shared" si="11"/>
        <v>1616.9311130000001</v>
      </c>
      <c r="L82" s="18">
        <f t="shared" si="11"/>
        <v>1717.7962044754761</v>
      </c>
    </row>
    <row r="83" spans="2:12" x14ac:dyDescent="0.3">
      <c r="B83" s="10" t="s">
        <v>5</v>
      </c>
      <c r="C83" s="18">
        <f t="shared" ref="C83:J83" si="12">C30/C43</f>
        <v>1039.7897350278715</v>
      </c>
      <c r="D83" s="18">
        <f t="shared" si="12"/>
        <v>1169.0356763188447</v>
      </c>
      <c r="E83" s="18">
        <f t="shared" si="12"/>
        <v>1112.6354042890118</v>
      </c>
      <c r="F83" s="18">
        <f t="shared" si="12"/>
        <v>1147.6691082708112</v>
      </c>
      <c r="G83" s="18">
        <f t="shared" si="12"/>
        <v>1093.8180000573714</v>
      </c>
      <c r="H83" s="18">
        <f t="shared" si="12"/>
        <v>1318.5457500545135</v>
      </c>
      <c r="I83" s="18">
        <f t="shared" si="12"/>
        <v>1455.5830291481884</v>
      </c>
      <c r="J83" s="18">
        <f t="shared" si="12"/>
        <v>1554.3353125344954</v>
      </c>
      <c r="K83" s="18"/>
      <c r="L83" s="18"/>
    </row>
    <row r="84" spans="2:12" x14ac:dyDescent="0.3">
      <c r="B84" s="54" t="s">
        <v>37</v>
      </c>
      <c r="C84" s="54">
        <v>0</v>
      </c>
      <c r="D84" s="54">
        <f>1*(MOD(D82,1)&lt;=1)</f>
        <v>1</v>
      </c>
      <c r="E84" s="54">
        <f>1*(MOD(2015,1)&lt;=1)</f>
        <v>1</v>
      </c>
      <c r="F84" s="54">
        <f>1*(MOD(2016,1)&lt;=1)</f>
        <v>1</v>
      </c>
      <c r="G84" s="54">
        <v>0</v>
      </c>
      <c r="H84" s="54">
        <v>0</v>
      </c>
      <c r="I84" s="54">
        <v>0</v>
      </c>
      <c r="J84" s="54">
        <v>0</v>
      </c>
      <c r="K84" s="54">
        <f>1*(MOD(2021,1)&lt;=1)</f>
        <v>1</v>
      </c>
      <c r="L84" s="54">
        <v>0</v>
      </c>
    </row>
    <row r="85" spans="2:12" x14ac:dyDescent="0.3">
      <c r="C85" s="13"/>
      <c r="D85" s="13"/>
      <c r="E85" s="13"/>
      <c r="F85" s="13"/>
      <c r="G85" s="13"/>
      <c r="H85" s="13"/>
      <c r="I85" s="13"/>
      <c r="J85" s="13"/>
      <c r="K85" s="13"/>
      <c r="L85" s="13"/>
    </row>
    <row r="86" spans="2:12" x14ac:dyDescent="0.3">
      <c r="C86" s="13"/>
      <c r="D86" s="13"/>
      <c r="E86" s="13"/>
      <c r="F86" s="13"/>
      <c r="G86" s="13"/>
      <c r="H86" s="13"/>
      <c r="I86" s="13"/>
      <c r="J86" s="13"/>
      <c r="K86" s="13"/>
      <c r="L86" s="13"/>
    </row>
    <row r="87" spans="2:12" x14ac:dyDescent="0.3">
      <c r="B87" s="19" t="s">
        <v>18</v>
      </c>
    </row>
    <row r="88" spans="2:12" x14ac:dyDescent="0.3">
      <c r="B88" s="12"/>
      <c r="C88" s="55">
        <v>2013</v>
      </c>
      <c r="D88" s="55">
        <v>2014</v>
      </c>
      <c r="E88" s="55">
        <v>2015</v>
      </c>
      <c r="F88" s="55">
        <v>2016</v>
      </c>
      <c r="G88" s="55">
        <v>2017</v>
      </c>
      <c r="H88" s="55">
        <v>2018</v>
      </c>
      <c r="I88" s="55">
        <v>2019</v>
      </c>
      <c r="J88" s="55">
        <v>2020</v>
      </c>
      <c r="K88" s="55">
        <v>2021</v>
      </c>
      <c r="L88" s="55">
        <v>2022</v>
      </c>
    </row>
    <row r="89" spans="2:12" x14ac:dyDescent="0.3">
      <c r="B89" s="12" t="s">
        <v>4</v>
      </c>
      <c r="C89" s="27">
        <f>C82+C75</f>
        <v>1001.8447431447684</v>
      </c>
      <c r="D89" s="27">
        <f t="shared" ref="D89:L89" si="13">D82+D75</f>
        <v>1051.1176646779429</v>
      </c>
      <c r="E89" s="27">
        <f t="shared" si="13"/>
        <v>1111.1274209558756</v>
      </c>
      <c r="F89" s="27">
        <f t="shared" si="13"/>
        <v>1139.3079036370552</v>
      </c>
      <c r="G89" s="27">
        <f t="shared" si="13"/>
        <v>1111.5492128475846</v>
      </c>
      <c r="H89" s="27">
        <f t="shared" si="13"/>
        <v>1131.0494120379706</v>
      </c>
      <c r="I89" s="27">
        <f t="shared" si="13"/>
        <v>1432.9302166824905</v>
      </c>
      <c r="J89" s="27">
        <f t="shared" si="13"/>
        <v>1585.1001869020658</v>
      </c>
      <c r="K89" s="27">
        <f t="shared" si="13"/>
        <v>1630.339414</v>
      </c>
      <c r="L89" s="27">
        <f t="shared" si="13"/>
        <v>1730.5855490539573</v>
      </c>
    </row>
    <row r="90" spans="2:12" x14ac:dyDescent="0.3">
      <c r="B90" s="12" t="s">
        <v>5</v>
      </c>
      <c r="C90" s="27">
        <f>C83+C76</f>
        <v>1046.9934892714077</v>
      </c>
      <c r="D90" s="27">
        <f t="shared" ref="D90:J90" si="14">D83+D76</f>
        <v>1176.6564684583445</v>
      </c>
      <c r="E90" s="27">
        <f t="shared" si="14"/>
        <v>1120.8297048500017</v>
      </c>
      <c r="F90" s="27">
        <f t="shared" si="14"/>
        <v>1156.2235298147511</v>
      </c>
      <c r="G90" s="27">
        <f t="shared" si="14"/>
        <v>1103.080758100248</v>
      </c>
      <c r="H90" s="27">
        <f t="shared" si="14"/>
        <v>1330.7016193667332</v>
      </c>
      <c r="I90" s="27">
        <f t="shared" si="14"/>
        <v>1479.7497363138489</v>
      </c>
      <c r="J90" s="27">
        <f t="shared" si="14"/>
        <v>1567.5296230576475</v>
      </c>
      <c r="K90" s="12"/>
      <c r="L90" s="12"/>
    </row>
    <row r="91" spans="2:12" x14ac:dyDescent="0.3">
      <c r="B91" s="56" t="s">
        <v>37</v>
      </c>
      <c r="C91" s="56">
        <v>0</v>
      </c>
      <c r="D91" s="56">
        <f>1*(MOD(D89,1)&lt;=1)</f>
        <v>1</v>
      </c>
      <c r="E91" s="56">
        <f>1*(MOD(2015,1)&lt;=1)</f>
        <v>1</v>
      </c>
      <c r="F91" s="56">
        <f>1*(MOD(2016,1)&lt;=1)</f>
        <v>1</v>
      </c>
      <c r="G91" s="56">
        <v>0</v>
      </c>
      <c r="H91" s="56">
        <v>0</v>
      </c>
      <c r="I91" s="56">
        <v>0</v>
      </c>
      <c r="J91" s="56">
        <v>0</v>
      </c>
      <c r="K91" s="56">
        <f>1*(MOD(2021,1)&lt;=1)</f>
        <v>1</v>
      </c>
      <c r="L91" s="56">
        <v>0</v>
      </c>
    </row>
    <row r="93" spans="2:12" x14ac:dyDescent="0.3">
      <c r="B93" s="19" t="s">
        <v>40</v>
      </c>
    </row>
    <row r="94" spans="2:12" x14ac:dyDescent="0.3">
      <c r="B94" s="57"/>
      <c r="C94" s="58">
        <v>2013</v>
      </c>
      <c r="D94" s="58">
        <v>2014</v>
      </c>
      <c r="E94" s="58">
        <v>2015</v>
      </c>
      <c r="F94" s="58">
        <v>2016</v>
      </c>
      <c r="G94" s="58">
        <v>2017</v>
      </c>
      <c r="H94" s="58">
        <v>2018</v>
      </c>
      <c r="I94" s="58">
        <v>2019</v>
      </c>
      <c r="J94" s="58">
        <v>2020</v>
      </c>
      <c r="K94" s="58">
        <v>2021</v>
      </c>
      <c r="L94" s="58">
        <v>2022</v>
      </c>
    </row>
    <row r="95" spans="2:12" x14ac:dyDescent="0.3">
      <c r="B95" s="57" t="s">
        <v>4</v>
      </c>
      <c r="C95" s="59">
        <f>C36/C43</f>
        <v>20002.054387713873</v>
      </c>
      <c r="D95" s="59">
        <f t="shared" ref="D95:L95" si="15">D36/C43</f>
        <v>20579.054995319482</v>
      </c>
      <c r="E95" s="59">
        <f t="shared" si="15"/>
        <v>21603.111362435677</v>
      </c>
      <c r="F95" s="59">
        <f t="shared" si="15"/>
        <v>22623.727185937722</v>
      </c>
      <c r="G95" s="59">
        <f t="shared" si="15"/>
        <v>23806.896719860328</v>
      </c>
      <c r="H95" s="59">
        <f t="shared" si="15"/>
        <v>28173.769351977578</v>
      </c>
      <c r="I95" s="59">
        <f t="shared" si="15"/>
        <v>30147.514280258994</v>
      </c>
      <c r="J95" s="59">
        <f t="shared" si="15"/>
        <v>39085.587845845846</v>
      </c>
      <c r="K95" s="59">
        <f t="shared" si="15"/>
        <v>39294.517613447388</v>
      </c>
      <c r="L95" s="59">
        <f t="shared" si="15"/>
        <v>39291.157376000003</v>
      </c>
    </row>
    <row r="96" spans="2:12" x14ac:dyDescent="0.3">
      <c r="B96" s="57" t="s">
        <v>6</v>
      </c>
      <c r="C96" s="59">
        <f t="shared" ref="C96:J96" si="16">C37/C43</f>
        <v>19633.913794776454</v>
      </c>
      <c r="D96" s="59">
        <f t="shared" si="16"/>
        <v>21034.562105693807</v>
      </c>
      <c r="E96" s="59">
        <f t="shared" si="16"/>
        <v>21423.180748185019</v>
      </c>
      <c r="F96" s="59">
        <f t="shared" si="16"/>
        <v>24660.583529568521</v>
      </c>
      <c r="G96" s="59">
        <f t="shared" si="16"/>
        <v>25809.571639900467</v>
      </c>
      <c r="H96" s="59">
        <f t="shared" si="16"/>
        <v>32848.097006864293</v>
      </c>
      <c r="I96" s="59">
        <f t="shared" si="16"/>
        <v>34974.518865748527</v>
      </c>
      <c r="J96" s="59">
        <f t="shared" si="16"/>
        <v>38106.939891000678</v>
      </c>
      <c r="K96" s="59"/>
      <c r="L96" s="59"/>
    </row>
    <row r="97" spans="2:13" x14ac:dyDescent="0.3"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</row>
    <row r="98" spans="2:13" x14ac:dyDescent="0.3"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</row>
    <row r="99" spans="2:13" x14ac:dyDescent="0.3">
      <c r="B99" s="36" t="s">
        <v>44</v>
      </c>
      <c r="C99" s="26"/>
      <c r="D99" s="26"/>
      <c r="E99" s="26"/>
      <c r="F99" s="26"/>
      <c r="G99" s="26"/>
      <c r="H99" s="26"/>
      <c r="I99" s="26"/>
      <c r="J99" s="26"/>
      <c r="K99" s="26"/>
      <c r="L99" s="26"/>
    </row>
    <row r="100" spans="2:13" x14ac:dyDescent="0.3">
      <c r="B100" s="60"/>
      <c r="C100" s="60">
        <v>2013</v>
      </c>
      <c r="D100" s="60">
        <v>2014</v>
      </c>
      <c r="E100" s="60">
        <v>2015</v>
      </c>
      <c r="F100" s="60">
        <v>2016</v>
      </c>
      <c r="G100" s="60">
        <v>2017</v>
      </c>
      <c r="H100" s="60">
        <v>2018</v>
      </c>
      <c r="I100" s="60">
        <v>2019</v>
      </c>
      <c r="J100" s="60">
        <v>2020</v>
      </c>
      <c r="K100" s="60">
        <v>2021</v>
      </c>
      <c r="L100" s="60">
        <v>2022</v>
      </c>
    </row>
    <row r="101" spans="2:13" x14ac:dyDescent="0.3">
      <c r="B101" s="61" t="s">
        <v>38</v>
      </c>
      <c r="C101" s="62">
        <v>64.454978942870994</v>
      </c>
      <c r="D101" s="62">
        <v>68.269233703613295</v>
      </c>
      <c r="E101" s="62">
        <v>54.3269233703613</v>
      </c>
      <c r="F101" s="62">
        <v>55.288459777832003</v>
      </c>
      <c r="G101" s="62">
        <v>57.211540222167997</v>
      </c>
      <c r="H101" s="62">
        <v>50.961540222167997</v>
      </c>
      <c r="I101" s="62">
        <v>48.0769233703613</v>
      </c>
      <c r="J101" s="62">
        <v>48.557693481445298</v>
      </c>
      <c r="K101" s="62">
        <v>54.807693481445298</v>
      </c>
      <c r="L101" s="61"/>
      <c r="M101" t="s">
        <v>11</v>
      </c>
    </row>
    <row r="102" spans="2:13" x14ac:dyDescent="0.3">
      <c r="B102" s="61" t="s">
        <v>39</v>
      </c>
      <c r="C102" s="61"/>
      <c r="D102" s="61"/>
      <c r="E102" s="61"/>
      <c r="F102" s="61"/>
      <c r="G102" s="61">
        <v>43</v>
      </c>
      <c r="H102" s="61">
        <v>46</v>
      </c>
      <c r="I102" s="61">
        <v>46</v>
      </c>
      <c r="J102" s="61">
        <v>43</v>
      </c>
      <c r="K102" s="61">
        <v>45</v>
      </c>
      <c r="L102" s="61">
        <v>48</v>
      </c>
      <c r="M102" t="s">
        <v>23</v>
      </c>
    </row>
    <row r="103" spans="2:13" x14ac:dyDescent="0.3"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</row>
    <row r="104" spans="2:13" x14ac:dyDescent="0.3"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</row>
    <row r="105" spans="2:13" x14ac:dyDescent="0.3">
      <c r="B105" s="36" t="s">
        <v>29</v>
      </c>
      <c r="C105" s="26"/>
      <c r="E105" s="26"/>
      <c r="F105" s="26"/>
      <c r="G105" s="26"/>
      <c r="H105" s="26"/>
      <c r="I105" s="26"/>
      <c r="J105" s="26"/>
      <c r="K105" s="26"/>
      <c r="L105" s="26"/>
    </row>
    <row r="106" spans="2:13" x14ac:dyDescent="0.3">
      <c r="B106" s="63"/>
      <c r="C106" s="63">
        <v>2013</v>
      </c>
      <c r="D106" s="63">
        <v>2014</v>
      </c>
      <c r="E106" s="63">
        <v>2015</v>
      </c>
      <c r="F106" s="63">
        <v>2016</v>
      </c>
      <c r="G106" s="63">
        <v>2017</v>
      </c>
      <c r="H106" s="63">
        <v>2018</v>
      </c>
      <c r="I106" s="63">
        <v>2019</v>
      </c>
      <c r="J106" s="63">
        <v>2020</v>
      </c>
      <c r="K106" s="63">
        <v>2021</v>
      </c>
      <c r="L106" s="63">
        <v>2022</v>
      </c>
    </row>
    <row r="107" spans="2:13" x14ac:dyDescent="0.3">
      <c r="B107" s="64" t="s">
        <v>14</v>
      </c>
      <c r="C107" s="65">
        <f t="shared" ref="C107:L107" si="17">C49+C56+C69</f>
        <v>102.44615486068525</v>
      </c>
      <c r="D107" s="65">
        <f t="shared" si="17"/>
        <v>83.665539762282492</v>
      </c>
      <c r="E107" s="65">
        <f t="shared" si="17"/>
        <v>101.14683265388554</v>
      </c>
      <c r="F107" s="65">
        <f t="shared" si="17"/>
        <v>100.95024791585548</v>
      </c>
      <c r="G107" s="65">
        <f t="shared" si="17"/>
        <v>110.99085693860141</v>
      </c>
      <c r="H107" s="65">
        <f t="shared" si="17"/>
        <v>142.61690542862681</v>
      </c>
      <c r="I107" s="65">
        <f t="shared" si="17"/>
        <v>213.82516458608802</v>
      </c>
      <c r="J107" s="65">
        <f t="shared" si="17"/>
        <v>212.24345718949255</v>
      </c>
      <c r="K107" s="65">
        <f t="shared" si="17"/>
        <v>208.07471500000003</v>
      </c>
      <c r="L107" s="65">
        <f t="shared" si="17"/>
        <v>206.45090663171976</v>
      </c>
    </row>
    <row r="108" spans="2:13" x14ac:dyDescent="0.3">
      <c r="B108" s="64" t="s">
        <v>5</v>
      </c>
      <c r="C108" s="65">
        <f t="shared" ref="C108:J108" si="18">C50+C57+C70</f>
        <v>79.673259576467245</v>
      </c>
      <c r="D108" s="65">
        <f t="shared" si="18"/>
        <v>90.805385628249383</v>
      </c>
      <c r="E108" s="65">
        <f t="shared" si="18"/>
        <v>95.590247540154664</v>
      </c>
      <c r="F108" s="65">
        <f t="shared" si="18"/>
        <v>94.175369333456018</v>
      </c>
      <c r="G108" s="65">
        <f t="shared" si="18"/>
        <v>113.12012900999173</v>
      </c>
      <c r="H108" s="65">
        <f t="shared" si="18"/>
        <v>170.52272182675279</v>
      </c>
      <c r="I108" s="65">
        <f t="shared" si="18"/>
        <v>193.90097733038994</v>
      </c>
      <c r="J108" s="65">
        <f t="shared" si="18"/>
        <v>197.03228291940297</v>
      </c>
      <c r="K108" s="64"/>
      <c r="L108" s="64"/>
    </row>
    <row r="109" spans="2:13" x14ac:dyDescent="0.3">
      <c r="B109" s="66" t="s">
        <v>37</v>
      </c>
      <c r="C109" s="66">
        <v>0</v>
      </c>
      <c r="D109" s="66">
        <f>1*(MOD(D108,1)&lt;=1)</f>
        <v>1</v>
      </c>
      <c r="E109" s="66">
        <f>1*(MOD(2015,1)&lt;=1)</f>
        <v>1</v>
      </c>
      <c r="F109" s="66">
        <f>1*(MOD(2016,1)&lt;=1)</f>
        <v>1</v>
      </c>
      <c r="G109" s="66">
        <v>0</v>
      </c>
      <c r="H109" s="66">
        <v>0</v>
      </c>
      <c r="I109" s="66">
        <v>0</v>
      </c>
      <c r="J109" s="66">
        <v>0</v>
      </c>
      <c r="K109" s="66">
        <f>1*(MOD(2021,1)&lt;=1)</f>
        <v>1</v>
      </c>
      <c r="L109" s="66">
        <v>0</v>
      </c>
    </row>
    <row r="110" spans="2:13" x14ac:dyDescent="0.3"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</row>
    <row r="111" spans="2:13" x14ac:dyDescent="0.3">
      <c r="B111" s="36" t="s">
        <v>31</v>
      </c>
      <c r="C111" s="26"/>
      <c r="E111" s="26"/>
      <c r="F111" s="26"/>
      <c r="G111" s="26"/>
      <c r="H111" s="26"/>
      <c r="I111" s="26"/>
      <c r="J111" s="26"/>
      <c r="K111" s="26"/>
      <c r="L111" s="26"/>
    </row>
    <row r="112" spans="2:13" x14ac:dyDescent="0.3">
      <c r="B112" s="67"/>
      <c r="C112" s="67">
        <v>2013</v>
      </c>
      <c r="D112" s="67">
        <v>2014</v>
      </c>
      <c r="E112" s="67">
        <v>2015</v>
      </c>
      <c r="F112" s="67">
        <v>2016</v>
      </c>
      <c r="G112" s="67">
        <v>2017</v>
      </c>
      <c r="H112" s="67">
        <v>2018</v>
      </c>
      <c r="I112" s="67">
        <v>2019</v>
      </c>
      <c r="J112" s="67">
        <v>2020</v>
      </c>
      <c r="K112" s="67">
        <v>2021</v>
      </c>
      <c r="L112" s="67">
        <v>2022</v>
      </c>
    </row>
    <row r="113" spans="2:12" x14ac:dyDescent="0.3">
      <c r="B113" s="67" t="s">
        <v>14</v>
      </c>
      <c r="C113" s="68">
        <f t="shared" ref="C113:L113" si="19">C107/C95</f>
        <v>5.1217816367708762E-3</v>
      </c>
      <c r="D113" s="68">
        <f t="shared" si="19"/>
        <v>4.0655676259824108E-3</v>
      </c>
      <c r="E113" s="68">
        <f t="shared" si="19"/>
        <v>4.6820493102564644E-3</v>
      </c>
      <c r="F113" s="68">
        <f t="shared" si="19"/>
        <v>4.4621404371691393E-3</v>
      </c>
      <c r="G113" s="68">
        <f t="shared" si="19"/>
        <v>4.6621304004738247E-3</v>
      </c>
      <c r="H113" s="68">
        <f t="shared" si="19"/>
        <v>5.0620456086972335E-3</v>
      </c>
      <c r="I113" s="68">
        <f t="shared" si="19"/>
        <v>7.0926300124884148E-3</v>
      </c>
      <c r="J113" s="68">
        <f t="shared" si="19"/>
        <v>5.4302229769853782E-3</v>
      </c>
      <c r="K113" s="68">
        <f t="shared" si="19"/>
        <v>5.2952607039714007E-3</v>
      </c>
      <c r="L113" s="68">
        <f t="shared" si="19"/>
        <v>5.2543859845122559E-3</v>
      </c>
    </row>
    <row r="114" spans="2:12" x14ac:dyDescent="0.3">
      <c r="B114" s="67" t="s">
        <v>5</v>
      </c>
      <c r="C114" s="69">
        <f t="shared" ref="C114:J114" si="20">C108/C96</f>
        <v>4.0579407859916393E-3</v>
      </c>
      <c r="D114" s="69">
        <f t="shared" si="20"/>
        <v>4.3169610649355728E-3</v>
      </c>
      <c r="E114" s="69">
        <f t="shared" si="20"/>
        <v>4.4620007021251087E-3</v>
      </c>
      <c r="F114" s="69">
        <f t="shared" si="20"/>
        <v>3.8188621619816058E-3</v>
      </c>
      <c r="G114" s="69">
        <f t="shared" si="20"/>
        <v>4.3828751049518767E-3</v>
      </c>
      <c r="H114" s="69">
        <f t="shared" si="20"/>
        <v>5.1912511641425841E-3</v>
      </c>
      <c r="I114" s="69">
        <f t="shared" si="20"/>
        <v>5.5440641821175212E-3</v>
      </c>
      <c r="J114" s="69">
        <f t="shared" si="20"/>
        <v>5.1705091902678347E-3</v>
      </c>
      <c r="K114" s="70"/>
      <c r="L114" s="70"/>
    </row>
    <row r="115" spans="2:12" ht="17.25" customHeight="1" x14ac:dyDescent="0.3">
      <c r="B115" s="71" t="s">
        <v>37</v>
      </c>
      <c r="C115" s="71">
        <v>0</v>
      </c>
      <c r="D115" s="71">
        <f>1*(MOD(D114,1)&lt;=1)</f>
        <v>1</v>
      </c>
      <c r="E115" s="71">
        <f>1*(MOD(2015,1)&lt;=1)</f>
        <v>1</v>
      </c>
      <c r="F115" s="71">
        <f>1*(MOD(2016,1)&lt;=1)</f>
        <v>1</v>
      </c>
      <c r="G115" s="71">
        <v>0</v>
      </c>
      <c r="H115" s="71">
        <v>0</v>
      </c>
      <c r="I115" s="71">
        <v>0</v>
      </c>
      <c r="J115" s="71">
        <v>0</v>
      </c>
      <c r="K115" s="71">
        <f>1*(MOD(2021,1)&lt;=1)</f>
        <v>1</v>
      </c>
      <c r="L115" s="71">
        <v>0</v>
      </c>
    </row>
    <row r="117" spans="2:12" x14ac:dyDescent="0.3"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</row>
    <row r="118" spans="2:12" x14ac:dyDescent="0.3">
      <c r="B118" s="36" t="s">
        <v>30</v>
      </c>
    </row>
    <row r="119" spans="2:12" x14ac:dyDescent="0.3">
      <c r="B119" s="72"/>
      <c r="C119" s="73">
        <v>2013</v>
      </c>
      <c r="D119" s="73">
        <v>2014</v>
      </c>
      <c r="E119" s="73">
        <v>2015</v>
      </c>
      <c r="F119" s="73">
        <v>2016</v>
      </c>
      <c r="G119" s="73">
        <v>2017</v>
      </c>
      <c r="H119" s="73">
        <v>2018</v>
      </c>
      <c r="I119" s="73">
        <v>2019</v>
      </c>
      <c r="J119" s="73">
        <v>2020</v>
      </c>
      <c r="K119" s="73">
        <v>2021</v>
      </c>
      <c r="L119" s="73">
        <v>2022</v>
      </c>
    </row>
    <row r="120" spans="2:12" x14ac:dyDescent="0.3">
      <c r="B120" s="72" t="s">
        <v>0</v>
      </c>
      <c r="C120" s="74">
        <f>C50</f>
        <v>39.252280745308006</v>
      </c>
      <c r="D120" s="74">
        <f t="shared" ref="D120:J120" si="21">D50</f>
        <v>42.90069760697429</v>
      </c>
      <c r="E120" s="74">
        <f t="shared" si="21"/>
        <v>42.682406758563324</v>
      </c>
      <c r="F120" s="74">
        <f t="shared" si="21"/>
        <v>38.908131755092022</v>
      </c>
      <c r="G120" s="74">
        <f t="shared" si="21"/>
        <v>40.380082119120516</v>
      </c>
      <c r="H120" s="74">
        <f t="shared" si="21"/>
        <v>63.334257906119539</v>
      </c>
      <c r="I120" s="74">
        <f t="shared" si="21"/>
        <v>64.535669925911947</v>
      </c>
      <c r="J120" s="74">
        <f t="shared" si="21"/>
        <v>74.911358048477609</v>
      </c>
      <c r="K120" s="74"/>
      <c r="L120" s="74"/>
    </row>
    <row r="121" spans="2:12" x14ac:dyDescent="0.3">
      <c r="B121" s="72" t="s">
        <v>1</v>
      </c>
      <c r="C121" s="74">
        <f>C57</f>
        <v>28.645746816332331</v>
      </c>
      <c r="D121" s="74">
        <f t="shared" ref="D121:J121" si="22">D57</f>
        <v>35.266481969792181</v>
      </c>
      <c r="E121" s="74">
        <f t="shared" si="22"/>
        <v>39.649049708774704</v>
      </c>
      <c r="F121" s="74">
        <f t="shared" si="22"/>
        <v>33.782886382549421</v>
      </c>
      <c r="G121" s="74">
        <f t="shared" si="22"/>
        <v>40.640417071595301</v>
      </c>
      <c r="H121" s="74">
        <f t="shared" si="22"/>
        <v>59.24332346450403</v>
      </c>
      <c r="I121" s="74">
        <f t="shared" si="22"/>
        <v>79.96821228220125</v>
      </c>
      <c r="J121" s="74">
        <f t="shared" si="22"/>
        <v>69.777497117647755</v>
      </c>
      <c r="K121" s="75"/>
      <c r="L121" s="75"/>
    </row>
    <row r="122" spans="2:12" x14ac:dyDescent="0.3">
      <c r="B122" s="72" t="s">
        <v>15</v>
      </c>
      <c r="C122" s="74">
        <f>C70</f>
        <v>11.775232014826912</v>
      </c>
      <c r="D122" s="74">
        <f t="shared" ref="D122:J122" si="23">D70</f>
        <v>12.638206051482916</v>
      </c>
      <c r="E122" s="74">
        <f t="shared" si="23"/>
        <v>13.258791072816635</v>
      </c>
      <c r="F122" s="74">
        <f t="shared" si="23"/>
        <v>21.48435119581459</v>
      </c>
      <c r="G122" s="74">
        <f t="shared" si="23"/>
        <v>32.099629819275911</v>
      </c>
      <c r="H122" s="74">
        <f t="shared" si="23"/>
        <v>47.945140456129238</v>
      </c>
      <c r="I122" s="74">
        <f t="shared" si="23"/>
        <v>49.397095122276724</v>
      </c>
      <c r="J122" s="74">
        <f t="shared" si="23"/>
        <v>52.343427753277616</v>
      </c>
      <c r="K122" s="75"/>
      <c r="L122" s="75"/>
    </row>
    <row r="123" spans="2:12" x14ac:dyDescent="0.3">
      <c r="B123" s="76" t="s">
        <v>37</v>
      </c>
      <c r="C123" s="76">
        <v>0</v>
      </c>
      <c r="D123" s="76">
        <f>1*(MOD(D122,1)&lt;=1)</f>
        <v>1</v>
      </c>
      <c r="E123" s="76">
        <f>1*(MOD(2015,1)&lt;=1)</f>
        <v>1</v>
      </c>
      <c r="F123" s="76">
        <f>1*(MOD(2016,1)&lt;=1)</f>
        <v>1</v>
      </c>
      <c r="G123" s="76">
        <v>0</v>
      </c>
      <c r="H123" s="76">
        <v>0</v>
      </c>
      <c r="I123" s="76">
        <v>0</v>
      </c>
      <c r="J123" s="76">
        <v>0</v>
      </c>
      <c r="K123" s="76">
        <f>1*(MOD(2021,1)&lt;=1)</f>
        <v>1</v>
      </c>
      <c r="L123" s="76">
        <v>0</v>
      </c>
    </row>
    <row r="124" spans="2:12" x14ac:dyDescent="0.3">
      <c r="B124" s="36"/>
    </row>
    <row r="125" spans="2:12" x14ac:dyDescent="0.3">
      <c r="C125" s="13"/>
    </row>
    <row r="126" spans="2:12" x14ac:dyDescent="0.3">
      <c r="C126" s="37"/>
      <c r="D126" s="38"/>
    </row>
    <row r="127" spans="2:12" x14ac:dyDescent="0.3">
      <c r="C127" s="37"/>
      <c r="D127" s="38"/>
    </row>
    <row r="128" spans="2:12" x14ac:dyDescent="0.3">
      <c r="C128" s="37"/>
      <c r="D128" s="38"/>
    </row>
    <row r="129" spans="3:4" x14ac:dyDescent="0.3">
      <c r="C129" s="37"/>
      <c r="D129" s="38"/>
    </row>
    <row r="130" spans="3:4" x14ac:dyDescent="0.3">
      <c r="C130" s="37"/>
      <c r="D130" s="38"/>
    </row>
    <row r="131" spans="3:4" x14ac:dyDescent="0.3">
      <c r="C131" s="37"/>
      <c r="D131" s="38"/>
    </row>
    <row r="132" spans="3:4" x14ac:dyDescent="0.3">
      <c r="C132" s="37"/>
      <c r="D132" s="38"/>
    </row>
    <row r="133" spans="3:4" x14ac:dyDescent="0.3">
      <c r="C133" s="37"/>
      <c r="D133" s="38"/>
    </row>
    <row r="134" spans="3:4" x14ac:dyDescent="0.3">
      <c r="C134" s="37"/>
      <c r="D134" s="38"/>
    </row>
    <row r="135" spans="3:4" x14ac:dyDescent="0.3">
      <c r="C135" s="37"/>
      <c r="D135" s="38"/>
    </row>
    <row r="136" spans="3:4" x14ac:dyDescent="0.3">
      <c r="C136" s="37"/>
      <c r="D136" s="38"/>
    </row>
    <row r="137" spans="3:4" x14ac:dyDescent="0.3">
      <c r="C137" s="37"/>
      <c r="D137" s="38"/>
    </row>
    <row r="138" spans="3:4" x14ac:dyDescent="0.3">
      <c r="C138" s="37"/>
      <c r="D138" s="38"/>
    </row>
    <row r="139" spans="3:4" x14ac:dyDescent="0.3">
      <c r="C139" s="37"/>
      <c r="D139" s="38"/>
    </row>
    <row r="140" spans="3:4" x14ac:dyDescent="0.3">
      <c r="C140" s="37"/>
      <c r="D140" s="38"/>
    </row>
    <row r="141" spans="3:4" x14ac:dyDescent="0.3">
      <c r="C141" s="37"/>
      <c r="D141" s="38"/>
    </row>
    <row r="142" spans="3:4" x14ac:dyDescent="0.3">
      <c r="C142" s="37"/>
      <c r="D142" s="38"/>
    </row>
    <row r="143" spans="3:4" x14ac:dyDescent="0.3">
      <c r="C143" s="37"/>
      <c r="D143" s="38"/>
    </row>
    <row r="144" spans="3:4" x14ac:dyDescent="0.3">
      <c r="C144" s="37"/>
      <c r="D144" s="38"/>
    </row>
    <row r="145" spans="3:4" x14ac:dyDescent="0.3">
      <c r="C145" s="37"/>
      <c r="D145" s="38"/>
    </row>
    <row r="146" spans="3:4" x14ac:dyDescent="0.3">
      <c r="C146" s="37"/>
      <c r="D146" s="38"/>
    </row>
    <row r="147" spans="3:4" x14ac:dyDescent="0.3">
      <c r="C147" s="37"/>
      <c r="D147" s="38"/>
    </row>
    <row r="148" spans="3:4" x14ac:dyDescent="0.3">
      <c r="C148" s="37"/>
      <c r="D148" s="38"/>
    </row>
    <row r="149" spans="3:4" x14ac:dyDescent="0.3">
      <c r="C149" s="37"/>
      <c r="D149" s="38"/>
    </row>
    <row r="150" spans="3:4" x14ac:dyDescent="0.3">
      <c r="C150" s="37"/>
      <c r="D150" s="38"/>
    </row>
    <row r="151" spans="3:4" x14ac:dyDescent="0.3">
      <c r="C151" s="37"/>
      <c r="D151" s="38"/>
    </row>
    <row r="152" spans="3:4" x14ac:dyDescent="0.3">
      <c r="C152" s="37"/>
      <c r="D152" s="38"/>
    </row>
    <row r="153" spans="3:4" x14ac:dyDescent="0.3">
      <c r="C153" s="37"/>
      <c r="D153" s="38"/>
    </row>
    <row r="154" spans="3:4" x14ac:dyDescent="0.3">
      <c r="C154" s="37"/>
      <c r="D154" s="38"/>
    </row>
    <row r="155" spans="3:4" x14ac:dyDescent="0.3">
      <c r="C155" s="37"/>
      <c r="D155" s="38"/>
    </row>
    <row r="156" spans="3:4" x14ac:dyDescent="0.3">
      <c r="C156" s="37"/>
      <c r="D156" s="38"/>
    </row>
    <row r="157" spans="3:4" x14ac:dyDescent="0.3">
      <c r="C157" s="37"/>
      <c r="D157" s="38"/>
    </row>
    <row r="158" spans="3:4" x14ac:dyDescent="0.3">
      <c r="C158" s="37"/>
      <c r="D158" s="38"/>
    </row>
    <row r="159" spans="3:4" x14ac:dyDescent="0.3">
      <c r="C159" s="37"/>
      <c r="D159" s="38"/>
    </row>
    <row r="160" spans="3:4" x14ac:dyDescent="0.3">
      <c r="C160" s="37"/>
      <c r="D160" s="38"/>
    </row>
    <row r="161" spans="3:4" x14ac:dyDescent="0.3">
      <c r="C161" s="37"/>
      <c r="D161" s="38"/>
    </row>
    <row r="203" spans="8:8" ht="15.6" x14ac:dyDescent="0.3">
      <c r="H203" s="85"/>
    </row>
  </sheetData>
  <hyperlinks>
    <hyperlink ref="M42" r:id="rId1" xr:uid="{FADBC9DA-B0DB-4078-BA7D-72CDF2E236CD}"/>
  </hyperlinks>
  <pageMargins left="0.7" right="0.7" top="0.75" bottom="0.75" header="0.3" footer="0.3"/>
  <pageSetup paperSize="9" orientation="portrait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Husnia</dc:creator>
  <cp:lastModifiedBy>Anne Moorhead</cp:lastModifiedBy>
  <dcterms:created xsi:type="dcterms:W3CDTF">2015-06-05T18:17:20Z</dcterms:created>
  <dcterms:modified xsi:type="dcterms:W3CDTF">2023-04-03T05:07:10Z</dcterms:modified>
</cp:coreProperties>
</file>