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nnem\Documents\Work\Devpolicy\Blogs\2023\06 June 2023\Editing\"/>
    </mc:Choice>
  </mc:AlternateContent>
  <xr:revisionPtr revIDLastSave="0" documentId="8_{441DED19-54CB-4426-83A1-3836708CC9E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urren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3" l="1"/>
  <c r="P34" i="3"/>
  <c r="O3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B64" i="3"/>
  <c r="N45" i="3"/>
  <c r="N34" i="3"/>
  <c r="M34" i="3"/>
  <c r="N28" i="3"/>
  <c r="O28" i="3"/>
  <c r="B50" i="3"/>
  <c r="P50" i="3"/>
  <c r="N50" i="3"/>
  <c r="B8" i="3"/>
  <c r="F46" i="3"/>
  <c r="G46" i="3"/>
  <c r="E34" i="3"/>
  <c r="C35" i="3"/>
  <c r="C37" i="3" s="1"/>
  <c r="D17" i="3"/>
  <c r="C8" i="3"/>
  <c r="O22" i="3"/>
  <c r="B7" i="3"/>
  <c r="B14" i="3"/>
  <c r="B15" i="3"/>
  <c r="D14" i="3"/>
  <c r="D15" i="3"/>
  <c r="E14" i="3"/>
  <c r="E15" i="3"/>
  <c r="F14" i="3"/>
  <c r="F15" i="3"/>
  <c r="G14" i="3"/>
  <c r="G15" i="3"/>
  <c r="H14" i="3"/>
  <c r="H15" i="3"/>
  <c r="I14" i="3"/>
  <c r="I15" i="3"/>
  <c r="J14" i="3"/>
  <c r="J15" i="3"/>
  <c r="K14" i="3"/>
  <c r="K15" i="3"/>
  <c r="L14" i="3"/>
  <c r="L15" i="3"/>
  <c r="M14" i="3"/>
  <c r="M15" i="3"/>
  <c r="N14" i="3"/>
  <c r="N15" i="3"/>
  <c r="O14" i="3"/>
  <c r="O15" i="3"/>
  <c r="P14" i="3"/>
  <c r="P15" i="3"/>
  <c r="C14" i="3"/>
  <c r="C15" i="3"/>
  <c r="C7" i="3"/>
  <c r="D7" i="3"/>
  <c r="G7" i="3"/>
  <c r="F7" i="3"/>
  <c r="E7" i="3"/>
  <c r="H7" i="3"/>
  <c r="I7" i="3"/>
  <c r="J7" i="3"/>
  <c r="K7" i="3"/>
  <c r="L7" i="3"/>
  <c r="M7" i="3"/>
  <c r="N7" i="3"/>
  <c r="P7" i="3"/>
  <c r="O7" i="3"/>
  <c r="M9" i="3"/>
  <c r="C51" i="3"/>
  <c r="D51" i="3"/>
  <c r="E51" i="3"/>
  <c r="F51" i="3"/>
  <c r="G51" i="3"/>
  <c r="H51" i="3"/>
  <c r="B51" i="3"/>
  <c r="G8" i="3"/>
  <c r="G9" i="3"/>
  <c r="G10" i="3"/>
  <c r="G17" i="3"/>
  <c r="G18" i="3"/>
  <c r="C9" i="3"/>
  <c r="C17" i="3"/>
  <c r="C18" i="3"/>
  <c r="C46" i="3"/>
  <c r="D8" i="3"/>
  <c r="D9" i="3"/>
  <c r="D18" i="3"/>
  <c r="D46" i="3"/>
  <c r="E8" i="3"/>
  <c r="E9" i="3"/>
  <c r="E17" i="3"/>
  <c r="E18" i="3"/>
  <c r="E46" i="3"/>
  <c r="F8" i="3"/>
  <c r="F9" i="3"/>
  <c r="F17" i="3"/>
  <c r="F18" i="3"/>
  <c r="B9" i="3"/>
  <c r="B17" i="3"/>
  <c r="B18" i="3"/>
  <c r="B46" i="3"/>
  <c r="H35" i="3"/>
  <c r="H36" i="3"/>
  <c r="G35" i="3"/>
  <c r="G36" i="3"/>
  <c r="D35" i="3"/>
  <c r="D36" i="3"/>
  <c r="E35" i="3"/>
  <c r="E36" i="3"/>
  <c r="F35" i="3"/>
  <c r="F36" i="3"/>
  <c r="B35" i="3"/>
  <c r="B37" i="3" s="1"/>
  <c r="C29" i="3"/>
  <c r="C30" i="3"/>
  <c r="D29" i="3"/>
  <c r="D30" i="3"/>
  <c r="E29" i="3"/>
  <c r="E30" i="3"/>
  <c r="F29" i="3"/>
  <c r="F30" i="3"/>
  <c r="B29" i="3"/>
  <c r="B30" i="3"/>
  <c r="G29" i="3"/>
  <c r="G30" i="3"/>
  <c r="B23" i="3"/>
  <c r="B25" i="3" s="1"/>
  <c r="C23" i="3"/>
  <c r="C25" i="3" s="1"/>
  <c r="D23" i="3"/>
  <c r="D25" i="3" s="1"/>
  <c r="E23" i="3"/>
  <c r="E25" i="3" s="1"/>
  <c r="F23" i="3"/>
  <c r="F24" i="3"/>
  <c r="G23" i="3"/>
  <c r="G24" i="3"/>
  <c r="N46" i="3"/>
  <c r="F45" i="3"/>
  <c r="D34" i="3"/>
  <c r="D28" i="3"/>
  <c r="P45" i="3"/>
  <c r="G45" i="3"/>
  <c r="H46" i="3"/>
  <c r="J35" i="3"/>
  <c r="J36" i="3"/>
  <c r="F34" i="3"/>
  <c r="G34" i="3"/>
  <c r="H34" i="3"/>
  <c r="I35" i="3"/>
  <c r="I37" i="3" s="1"/>
  <c r="I100" i="3" s="1"/>
  <c r="I46" i="3"/>
  <c r="J46" i="3"/>
  <c r="K46" i="3"/>
  <c r="L46" i="3"/>
  <c r="M46" i="3"/>
  <c r="B45" i="3"/>
  <c r="H8" i="3"/>
  <c r="H9" i="3"/>
  <c r="H17" i="3"/>
  <c r="H18" i="3"/>
  <c r="I8" i="3"/>
  <c r="I9" i="3"/>
  <c r="I17" i="3"/>
  <c r="I18" i="3"/>
  <c r="J8" i="3"/>
  <c r="J9" i="3"/>
  <c r="J17" i="3"/>
  <c r="J18" i="3"/>
  <c r="K8" i="3"/>
  <c r="K9" i="3"/>
  <c r="K17" i="3"/>
  <c r="K18" i="3"/>
  <c r="L8" i="3"/>
  <c r="L9" i="3"/>
  <c r="L17" i="3"/>
  <c r="L18" i="3"/>
  <c r="M8" i="3"/>
  <c r="M17" i="3"/>
  <c r="M18" i="3"/>
  <c r="N8" i="3"/>
  <c r="N9" i="3"/>
  <c r="N17" i="3"/>
  <c r="N18" i="3"/>
  <c r="C34" i="3"/>
  <c r="I34" i="3"/>
  <c r="J34" i="3"/>
  <c r="K34" i="3"/>
  <c r="L34" i="3"/>
  <c r="M28" i="3"/>
  <c r="P28" i="3"/>
  <c r="C28" i="3"/>
  <c r="E28" i="3"/>
  <c r="F28" i="3"/>
  <c r="G28" i="3"/>
  <c r="H28" i="3"/>
  <c r="I28" i="3"/>
  <c r="J28" i="3"/>
  <c r="K28" i="3"/>
  <c r="L28" i="3"/>
  <c r="B28" i="3"/>
  <c r="M22" i="3"/>
  <c r="N22" i="3"/>
  <c r="P22" i="3"/>
  <c r="C22" i="3"/>
  <c r="D22" i="3"/>
  <c r="E22" i="3"/>
  <c r="F22" i="3"/>
  <c r="G22" i="3"/>
  <c r="H22" i="3"/>
  <c r="I22" i="3"/>
  <c r="J22" i="3"/>
  <c r="K22" i="3"/>
  <c r="L22" i="3"/>
  <c r="B22" i="3"/>
  <c r="N51" i="3"/>
  <c r="M51" i="3"/>
  <c r="L51" i="3"/>
  <c r="K51" i="3"/>
  <c r="J51" i="3"/>
  <c r="I51" i="3"/>
  <c r="O50" i="3"/>
  <c r="M50" i="3"/>
  <c r="L50" i="3"/>
  <c r="K50" i="3"/>
  <c r="J50" i="3"/>
  <c r="I50" i="3"/>
  <c r="H50" i="3"/>
  <c r="G50" i="3"/>
  <c r="F50" i="3"/>
  <c r="E50" i="3"/>
  <c r="D50" i="3"/>
  <c r="C50" i="3"/>
  <c r="N29" i="3"/>
  <c r="N30" i="3"/>
  <c r="M29" i="3"/>
  <c r="M30" i="3"/>
  <c r="L29" i="3"/>
  <c r="L31" i="3" s="1"/>
  <c r="K29" i="3"/>
  <c r="K31" i="3" s="1"/>
  <c r="J29" i="3"/>
  <c r="J31" i="3" s="1"/>
  <c r="I29" i="3"/>
  <c r="I30" i="3"/>
  <c r="H29" i="3"/>
  <c r="H31" i="3" s="1"/>
  <c r="O45" i="3"/>
  <c r="M45" i="3"/>
  <c r="L45" i="3"/>
  <c r="K45" i="3"/>
  <c r="J45" i="3"/>
  <c r="I45" i="3"/>
  <c r="H45" i="3"/>
  <c r="E45" i="3"/>
  <c r="D45" i="3"/>
  <c r="C45" i="3"/>
  <c r="N35" i="3"/>
  <c r="N37" i="3" s="1"/>
  <c r="M35" i="3"/>
  <c r="M36" i="3"/>
  <c r="L35" i="3"/>
  <c r="L36" i="3"/>
  <c r="K35" i="3"/>
  <c r="K36" i="3"/>
  <c r="N23" i="3"/>
  <c r="N25" i="3" s="1"/>
  <c r="M23" i="3"/>
  <c r="M25" i="3" s="1"/>
  <c r="L23" i="3"/>
  <c r="L25" i="3" s="1"/>
  <c r="K23" i="3"/>
  <c r="K25" i="3" s="1"/>
  <c r="J23" i="3"/>
  <c r="J24" i="3"/>
  <c r="I23" i="3"/>
  <c r="I24" i="3"/>
  <c r="H23" i="3"/>
  <c r="H24" i="3"/>
  <c r="O40" i="3"/>
  <c r="P69" i="3" l="1"/>
  <c r="O121" i="3"/>
  <c r="N121" i="3"/>
  <c r="B69" i="3"/>
  <c r="N122" i="3"/>
  <c r="B11" i="3"/>
  <c r="O92" i="3"/>
  <c r="B121" i="3"/>
  <c r="P121" i="3"/>
  <c r="L99" i="3"/>
  <c r="J122" i="3"/>
  <c r="F85" i="3"/>
  <c r="J92" i="3"/>
  <c r="F92" i="3"/>
  <c r="G37" i="3"/>
  <c r="G100" i="3" s="1"/>
  <c r="D11" i="3"/>
  <c r="D70" i="3" s="1"/>
  <c r="B16" i="3"/>
  <c r="B77" i="3" s="1"/>
  <c r="L86" i="3"/>
  <c r="P99" i="3"/>
  <c r="H121" i="3"/>
  <c r="L121" i="3"/>
  <c r="J121" i="3"/>
  <c r="B85" i="3"/>
  <c r="H122" i="3"/>
  <c r="K69" i="3"/>
  <c r="E16" i="3"/>
  <c r="E77" i="3" s="1"/>
  <c r="M11" i="3"/>
  <c r="M70" i="3" s="1"/>
  <c r="F99" i="3"/>
  <c r="F106" i="3"/>
  <c r="C11" i="3"/>
  <c r="C70" i="3" s="1"/>
  <c r="E107" i="3"/>
  <c r="P85" i="3"/>
  <c r="G16" i="3"/>
  <c r="G77" i="3" s="1"/>
  <c r="P92" i="3"/>
  <c r="D16" i="3"/>
  <c r="D77" i="3" s="1"/>
  <c r="H25" i="3"/>
  <c r="J25" i="3"/>
  <c r="G85" i="3"/>
  <c r="M19" i="3"/>
  <c r="M78" i="3" s="1"/>
  <c r="L37" i="3"/>
  <c r="L100" i="3" s="1"/>
  <c r="K106" i="3"/>
  <c r="N100" i="3"/>
  <c r="J99" i="3"/>
  <c r="J107" i="3"/>
  <c r="G99" i="3"/>
  <c r="N106" i="3"/>
  <c r="B86" i="3"/>
  <c r="I25" i="3"/>
  <c r="K86" i="3"/>
  <c r="F121" i="3"/>
  <c r="K85" i="3"/>
  <c r="F122" i="3"/>
  <c r="N99" i="3"/>
  <c r="N69" i="3"/>
  <c r="J69" i="3"/>
  <c r="F69" i="3"/>
  <c r="M85" i="3"/>
  <c r="L11" i="3"/>
  <c r="L70" i="3" s="1"/>
  <c r="I11" i="3"/>
  <c r="I70" i="3" s="1"/>
  <c r="D19" i="3"/>
  <c r="D78" i="3" s="1"/>
  <c r="D107" i="3"/>
  <c r="K93" i="3"/>
  <c r="K122" i="3"/>
  <c r="K99" i="3"/>
  <c r="G106" i="3"/>
  <c r="M121" i="3"/>
  <c r="E85" i="3"/>
  <c r="L19" i="3"/>
  <c r="L78" i="3" s="1"/>
  <c r="I19" i="3"/>
  <c r="I78" i="3" s="1"/>
  <c r="K107" i="3"/>
  <c r="M37" i="3"/>
  <c r="M100" i="3" s="1"/>
  <c r="I121" i="3"/>
  <c r="C85" i="3"/>
  <c r="K92" i="3"/>
  <c r="M92" i="3"/>
  <c r="M69" i="3"/>
  <c r="H99" i="3"/>
  <c r="J37" i="3"/>
  <c r="J100" i="3" s="1"/>
  <c r="P106" i="3"/>
  <c r="C86" i="3"/>
  <c r="F37" i="3"/>
  <c r="F100" i="3" s="1"/>
  <c r="D37" i="3"/>
  <c r="D100" i="3" s="1"/>
  <c r="C19" i="3"/>
  <c r="C78" i="3" s="1"/>
  <c r="I69" i="3"/>
  <c r="G69" i="3"/>
  <c r="N107" i="3"/>
  <c r="J106" i="3"/>
  <c r="I85" i="3"/>
  <c r="C99" i="3"/>
  <c r="I107" i="3"/>
  <c r="I106" i="3"/>
  <c r="E31" i="3"/>
  <c r="E93" i="3" s="1"/>
  <c r="E11" i="3"/>
  <c r="E70" i="3" s="1"/>
  <c r="E122" i="3"/>
  <c r="H16" i="3"/>
  <c r="H77" i="3" s="1"/>
  <c r="M86" i="3"/>
  <c r="M106" i="3"/>
  <c r="N31" i="3"/>
  <c r="N93" i="3" s="1"/>
  <c r="E121" i="3"/>
  <c r="I122" i="3"/>
  <c r="J85" i="3"/>
  <c r="I92" i="3"/>
  <c r="E92" i="3"/>
  <c r="I99" i="3"/>
  <c r="M99" i="3"/>
  <c r="G25" i="3"/>
  <c r="E37" i="3"/>
  <c r="E100" i="3" s="1"/>
  <c r="C16" i="3"/>
  <c r="C77" i="3" s="1"/>
  <c r="O69" i="3"/>
  <c r="M16" i="3"/>
  <c r="M77" i="3" s="1"/>
  <c r="I16" i="3"/>
  <c r="I77" i="3" s="1"/>
  <c r="C106" i="3"/>
  <c r="M107" i="3"/>
  <c r="E86" i="3"/>
  <c r="B31" i="3"/>
  <c r="B93" i="3" s="1"/>
  <c r="C31" i="3"/>
  <c r="C93" i="3" s="1"/>
  <c r="C100" i="3"/>
  <c r="L16" i="3"/>
  <c r="L77" i="3" s="1"/>
  <c r="N86" i="3"/>
  <c r="J93" i="3"/>
  <c r="M31" i="3"/>
  <c r="M93" i="3" s="1"/>
  <c r="M122" i="3"/>
  <c r="N85" i="3"/>
  <c r="C92" i="3"/>
  <c r="N92" i="3"/>
  <c r="G31" i="3"/>
  <c r="G93" i="3" s="1"/>
  <c r="F31" i="3"/>
  <c r="F93" i="3" s="1"/>
  <c r="D31" i="3"/>
  <c r="D93" i="3" s="1"/>
  <c r="B70" i="3"/>
  <c r="C122" i="3"/>
  <c r="E69" i="3"/>
  <c r="C69" i="3"/>
  <c r="E106" i="3"/>
  <c r="O106" i="3"/>
  <c r="D121" i="3"/>
  <c r="N11" i="3"/>
  <c r="N70" i="3" s="1"/>
  <c r="J11" i="3"/>
  <c r="J70" i="3" s="1"/>
  <c r="H11" i="3"/>
  <c r="H70" i="3" s="1"/>
  <c r="F19" i="3"/>
  <c r="F78" i="3" s="1"/>
  <c r="E19" i="3"/>
  <c r="E78" i="3" s="1"/>
  <c r="C107" i="3"/>
  <c r="K16" i="3"/>
  <c r="K77" i="3" s="1"/>
  <c r="H85" i="3"/>
  <c r="E99" i="3"/>
  <c r="O16" i="3"/>
  <c r="O77" i="3" s="1"/>
  <c r="L107" i="3"/>
  <c r="G122" i="3"/>
  <c r="G107" i="3"/>
  <c r="K37" i="3"/>
  <c r="K100" i="3" s="1"/>
  <c r="O85" i="3"/>
  <c r="N19" i="3"/>
  <c r="N78" i="3" s="1"/>
  <c r="J19" i="3"/>
  <c r="J78" i="3" s="1"/>
  <c r="H19" i="3"/>
  <c r="H78" i="3" s="1"/>
  <c r="F11" i="3"/>
  <c r="F70" i="3" s="1"/>
  <c r="P16" i="3"/>
  <c r="P77" i="3" s="1"/>
  <c r="K121" i="3"/>
  <c r="B106" i="3"/>
  <c r="O99" i="3"/>
  <c r="F107" i="3"/>
  <c r="D106" i="3"/>
  <c r="H106" i="3"/>
  <c r="H93" i="3"/>
  <c r="B92" i="3"/>
  <c r="H92" i="3"/>
  <c r="B99" i="3"/>
  <c r="H69" i="3"/>
  <c r="K11" i="3"/>
  <c r="K70" i="3" s="1"/>
  <c r="H107" i="3"/>
  <c r="B100" i="3"/>
  <c r="B107" i="3"/>
  <c r="B19" i="3"/>
  <c r="B78" i="3" s="1"/>
  <c r="G11" i="3"/>
  <c r="G70" i="3" s="1"/>
  <c r="I31" i="3"/>
  <c r="I93" i="3" s="1"/>
  <c r="L93" i="3"/>
  <c r="C121" i="3"/>
  <c r="G121" i="3"/>
  <c r="L122" i="3"/>
  <c r="L85" i="3"/>
  <c r="D85" i="3"/>
  <c r="G92" i="3"/>
  <c r="D99" i="3"/>
  <c r="K19" i="3"/>
  <c r="K78" i="3" s="1"/>
  <c r="D86" i="3"/>
  <c r="G19" i="3"/>
  <c r="G78" i="3" s="1"/>
  <c r="D122" i="3"/>
  <c r="L106" i="3"/>
  <c r="L92" i="3"/>
  <c r="L69" i="3"/>
  <c r="D69" i="3"/>
  <c r="D92" i="3"/>
  <c r="F25" i="3"/>
  <c r="H37" i="3"/>
  <c r="H100" i="3" s="1"/>
  <c r="N16" i="3"/>
  <c r="N77" i="3" s="1"/>
  <c r="J16" i="3"/>
  <c r="J77" i="3" s="1"/>
  <c r="F16" i="3"/>
  <c r="F77" i="3" s="1"/>
  <c r="B122" i="3"/>
  <c r="P113" i="3" l="1"/>
  <c r="G86" i="3"/>
  <c r="J86" i="3"/>
  <c r="I86" i="3"/>
  <c r="H86" i="3"/>
  <c r="F86" i="3"/>
  <c r="B113" i="3"/>
  <c r="K113" i="3"/>
  <c r="L114" i="3"/>
  <c r="M114" i="3"/>
  <c r="C114" i="3"/>
  <c r="M113" i="3"/>
  <c r="J113" i="3"/>
  <c r="F113" i="3"/>
  <c r="N113" i="3"/>
  <c r="I113" i="3"/>
  <c r="G113" i="3"/>
  <c r="I114" i="3"/>
  <c r="B114" i="3"/>
  <c r="C113" i="3"/>
  <c r="G114" i="3"/>
  <c r="H113" i="3"/>
  <c r="E113" i="3"/>
  <c r="E114" i="3"/>
  <c r="N114" i="3"/>
  <c r="L113" i="3"/>
  <c r="F114" i="3"/>
  <c r="O113" i="3"/>
  <c r="H114" i="3"/>
  <c r="D114" i="3"/>
  <c r="J114" i="3"/>
  <c r="D113" i="3"/>
  <c r="K1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Husnia Hushang</author>
    <author>Author</author>
  </authors>
  <commentList>
    <comment ref="B5" authorId="0" shapeId="0" xr:uid="{CA9A2BC1-468F-4856-B2DE-D425693AC55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2008-2009: Approved Estimates,  P. II. &amp; P. 291</t>
        </r>
      </text>
    </comment>
    <comment ref="C5" authorId="0" shapeId="0" xr:uid="{0DDE9016-80FB-4F5B-86DC-2D528D1C099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2009-2010: Approved Estimates, P.II &amp; P. 328</t>
        </r>
      </text>
    </comment>
    <comment ref="D5" authorId="0" shapeId="0" xr:uid="{D333FDD7-C02F-4219-9DBC-4A731F9603E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2010-11: Approved Estimates,  P. II &amp; P. IX </t>
        </r>
      </text>
    </comment>
    <comment ref="E5" authorId="0" shapeId="0" xr:uid="{9D47AA76-CF73-4B1F-B9B7-6165A100FC2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2011-12: Approved Estimates,  P. II &amp; P. IX</t>
        </r>
      </text>
    </comment>
    <comment ref="F5" authorId="0" shapeId="0" xr:uid="{E170A4AE-1A8B-4826-8BE1-EFFE1A5C055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2012-13: Approved Estimates,  P. II &amp; P. IX.</t>
        </r>
      </text>
    </comment>
    <comment ref="G5" authorId="0" shapeId="0" xr:uid="{02834FA8-A9EF-4DEC-8CF2-AD380E100E5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2013-14: Approved Estimates,  P. II &amp; P. X.</t>
        </r>
      </text>
    </comment>
    <comment ref="H5" authorId="0" shapeId="0" xr:uid="{B0833C9B-F9AD-4FF7-82BE-A199E88CCD3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2014-15: Approved Estimates,  P. II &amp; P. X.</t>
        </r>
      </text>
    </comment>
    <comment ref="I5" authorId="0" shapeId="0" xr:uid="{9E5031AF-8DDA-44B0-8BD0-B1FF2AA53D3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2015-16: Approved Estimates, P. X &amp; P. II.</t>
        </r>
      </text>
    </comment>
    <comment ref="J5" authorId="0" shapeId="0" xr:uid="{8A7B925F-DF5C-4A75-AC87-E9B0F266CD9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2016-17: Approved Estimates, P. X &amp; P. II.</t>
        </r>
      </text>
    </comment>
    <comment ref="K5" authorId="0" shapeId="0" xr:uid="{57F3C5D7-A9CE-4E16-9A0D-59F21AD2460D}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2017-18: Approved Estimates, P. X &amp; P. II.</t>
        </r>
      </text>
    </comment>
    <comment ref="L5" authorId="0" shapeId="0" xr:uid="{B3B365B6-B289-4DA6-BF16-207A9D1FF67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2018-19: Approved Estimates, P. X &amp; P. IV.</t>
        </r>
      </text>
    </comment>
    <comment ref="M5" authorId="0" shapeId="0" xr:uid="{EF7F80D6-44FD-43F7-B544-735C8C13FA26}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2019-20: Approved Estimates, P. XIII &amp; P. 257</t>
        </r>
      </text>
    </comment>
    <comment ref="N5" authorId="0" shapeId="0" xr:uid="{687E14A6-B98A-4AFB-A9AC-E1F3F9EEC7B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Approved bud 20-21: p.II</t>
        </r>
      </text>
    </comment>
    <comment ref="O5" authorId="1" shapeId="0" xr:uid="{2171F003-B1CB-46DF-B6FB-FE2634A6F11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2021_22 bud: Approved Estimates of Receipts &amp; Payments, p.II &amp; p XIII </t>
        </r>
      </text>
    </comment>
    <comment ref="P5" authorId="1" shapeId="0" xr:uid="{7FE27738-7326-48DF-982F-B145D872761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2022_23 bud: Approved Estimates of Receipts &amp; Payments, p.II &amp; p XIII</t>
        </r>
      </text>
    </comment>
    <comment ref="B6" authorId="1" shapeId="0" xr:uid="{1F80C14F-FB04-4E42-91D1-458FA4A4623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Approved bud 2009 -2010:  p.XV</t>
        </r>
      </text>
    </comment>
    <comment ref="C6" authorId="1" shapeId="0" xr:uid="{E0CFD6F2-2E79-4992-AA36-700177745E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Approved bud 2009 -2010:  p.XV</t>
        </r>
      </text>
    </comment>
    <comment ref="D6" authorId="1" shapeId="0" xr:uid="{9841BE48-4451-4F3C-94D7-03F73123F11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Approved bud 2011-2012:  p.XVII</t>
        </r>
      </text>
    </comment>
    <comment ref="E6" authorId="1" shapeId="0" xr:uid="{93282B37-6959-485C-B15A-0AC8A54C8E3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Approved bud 2011-2012:  p.XVIII</t>
        </r>
      </text>
    </comment>
    <comment ref="G6" authorId="1" shapeId="0" xr:uid="{A873B6F1-90E7-4A1A-814C-9A9900D85DB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Approved bud 2014-2015: p.XIX</t>
        </r>
      </text>
    </comment>
    <comment ref="H6" authorId="1" shapeId="0" xr:uid="{5FC80B42-5F7F-461B-9B90-F5FD28D36C0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Approved bud 2014-2015: p.XIX</t>
        </r>
      </text>
    </comment>
    <comment ref="I6" authorId="1" shapeId="0" xr:uid="{58638223-F538-4D23-BB6F-C7712ABE0A4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Approved bud 2016-2017: p.XIX</t>
        </r>
      </text>
    </comment>
    <comment ref="J6" authorId="1" shapeId="0" xr:uid="{61C96F83-8D2A-4F8E-BF46-E124481B451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Approved bud 2016-2017: p.XIX</t>
        </r>
      </text>
    </comment>
    <comment ref="K6" authorId="1" shapeId="0" xr:uid="{28A32D63-0107-408D-9403-61C492A958E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Approved bud 2018-2019: p.XX</t>
        </r>
      </text>
    </comment>
    <comment ref="L6" authorId="1" shapeId="0" xr:uid="{A9F0A4C6-3014-413B-BB7C-DA5A3F008EB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Approved bud 2018-2019: p.XX</t>
        </r>
      </text>
    </comment>
    <comment ref="N6" authorId="1" shapeId="0" xr:uid="{36BB7714-3ECC-4C2B-9603-290695F6124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Approved bud 20-21: p.XXIV</t>
        </r>
      </text>
    </comment>
    <comment ref="O6" authorId="1" shapeId="0" xr:uid="{1ED322E3-4085-4B12-B2BE-7851575E275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Approved bud 22-23: p.XXIV</t>
        </r>
      </text>
    </comment>
    <comment ref="P6" authorId="1" shapeId="0" xr:uid="{F72936CE-CD59-40B7-8F8B-F3C5C2C64D8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Approved bud 22-23: p.XXIV</t>
        </r>
      </text>
    </comment>
    <comment ref="B8" authorId="1" shapeId="0" xr:uid="{77A4977F-6D15-47C6-BE7D-D321C6421FB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2009: p. 20 &amp; 41</t>
        </r>
      </text>
    </comment>
    <comment ref="C8" authorId="1" shapeId="0" xr:uid="{A1561ED1-2ECD-48D3-83CF-C010F9FD287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2010: p. 20 &amp; 38</t>
        </r>
      </text>
    </comment>
    <comment ref="D8" authorId="1" shapeId="0" xr:uid="{7934755C-5788-484D-AC49-76352114EB4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2011: p. 20 &amp; 37</t>
        </r>
      </text>
    </comment>
    <comment ref="E8" authorId="1" shapeId="0" xr:uid="{5F073882-4A41-4BF2-AB8B-F53E82591E2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2012: p. 21 &amp; 41</t>
        </r>
      </text>
    </comment>
    <comment ref="F8" authorId="1" shapeId="0" xr:uid="{31B82961-D2EB-46CC-AC3B-5F757F5832E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2013: p. 19 &amp; 39</t>
        </r>
      </text>
    </comment>
    <comment ref="G8" authorId="1" shapeId="0" xr:uid="{BC0102DE-F1CE-4013-8675-2C3EEE0C6E8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2014: p. 22 &amp; 44</t>
        </r>
      </text>
    </comment>
    <comment ref="H8" authorId="1" shapeId="0" xr:uid="{D5C1842F-8625-49FC-B63C-6FA278813D8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2015: p. 22 &amp; 44</t>
        </r>
      </text>
    </comment>
    <comment ref="I8" authorId="1" shapeId="0" xr:uid="{C93B043A-EBBF-4BF9-95D6-5DEC8930152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2016: p. 25 &amp; 52</t>
        </r>
      </text>
    </comment>
    <comment ref="J8" authorId="1" shapeId="0" xr:uid="{DEA53CA4-3403-4F29-B1BF-9A52A258B9E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2017: p. 25 &amp; 53</t>
        </r>
      </text>
    </comment>
    <comment ref="K8" authorId="1" shapeId="0" xr:uid="{96391D1E-720D-4E5E-B728-1BE7A16F9A6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2018: p. 26</t>
        </r>
      </text>
    </comment>
    <comment ref="L8" authorId="1" shapeId="0" xr:uid="{38794EA5-BA51-464B-A9F5-F5142E2ECF4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2019: p. 25</t>
        </r>
      </text>
    </comment>
    <comment ref="M8" authorId="1" shapeId="0" xr:uid="{B3CC9095-040F-454B-82C0-FA76108BB64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2020: p. 30</t>
        </r>
      </text>
    </comment>
    <comment ref="N8" authorId="1" shapeId="0" xr:uid="{643CE513-4FED-440B-BFCC-0C8B2E15816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2021: p. 26 &amp; 61</t>
        </r>
      </text>
    </comment>
    <comment ref="B9" authorId="1" shapeId="0" xr:uid="{94995A5B-1C40-4367-B1B0-68B1F65F6B4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2009: p. 51</t>
        </r>
      </text>
    </comment>
    <comment ref="C9" authorId="1" shapeId="0" xr:uid="{B5652082-5EBA-4A0F-B792-CE5E873DA8A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2010: p. 48</t>
        </r>
      </text>
    </comment>
    <comment ref="D9" authorId="1" shapeId="0" xr:uid="{8A2EA6B3-C9C3-440C-B22E-9651FC748E8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2011: p. 47</t>
        </r>
      </text>
    </comment>
    <comment ref="E9" authorId="1" shapeId="0" xr:uid="{50739AD2-4543-452B-9F3B-760B49FEA94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2012: p. 51
</t>
        </r>
      </text>
    </comment>
    <comment ref="F9" authorId="1" shapeId="0" xr:uid="{6ACA1C06-535B-46B9-A20C-9DBA77D89AE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2013: p. 49 </t>
        </r>
      </text>
    </comment>
    <comment ref="G9" authorId="1" shapeId="0" xr:uid="{2A8E1157-EBE9-47E7-B891-BC11E41E796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2015: p.54</t>
        </r>
      </text>
    </comment>
    <comment ref="H9" authorId="1" shapeId="0" xr:uid="{B7423DD7-2E8A-47E1-90AF-2471BC6BE15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2015: p.55</t>
        </r>
      </text>
    </comment>
    <comment ref="I9" authorId="1" shapeId="0" xr:uid="{6D7C35B0-7C63-440D-8B1C-25F6A5A91DB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2016: p. 65</t>
        </r>
      </text>
    </comment>
    <comment ref="J9" authorId="1" shapeId="0" xr:uid="{EEB0BB37-E7BD-4DF9-9C30-D2C5B1419C1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2017: p. 66</t>
        </r>
      </text>
    </comment>
    <comment ref="K9" authorId="1" shapeId="0" xr:uid="{FB5C8984-9189-432F-8EEE-5799F3EF42C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2018: p. 74</t>
        </r>
      </text>
    </comment>
    <comment ref="L9" authorId="1" shapeId="0" xr:uid="{95249339-D33A-4E51-B656-6B80C4A18E0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2019: p. 74</t>
        </r>
      </text>
    </comment>
    <comment ref="M9" authorId="1" shapeId="0" xr:uid="{855495B6-32A6-45D2-931E-4A2AA01715E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2020: p. 82</t>
        </r>
      </text>
    </comment>
    <comment ref="N9" authorId="1" shapeId="0" xr:uid="{2365DAA8-A464-4EAD-9513-262196D621D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2021: p. 76</t>
        </r>
      </text>
    </comment>
    <comment ref="G10" authorId="1" shapeId="0" xr:uid="{08F28F95-4F58-4ADA-8293-BD4FD117ACB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2015: p.56</t>
        </r>
      </text>
    </comment>
    <comment ref="B14" authorId="0" shapeId="0" xr:uid="{72781E09-398C-4C49-95D3-B0FC0DA0304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2008-2009: Approved Estimates,  P. II. &amp; 276.</t>
        </r>
      </text>
    </comment>
    <comment ref="C14" authorId="0" shapeId="0" xr:uid="{3AD58952-0B7D-4659-9799-324CA1E4925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2009-2010: Approved Estimates, P.II &amp; P. 312</t>
        </r>
      </text>
    </comment>
    <comment ref="D14" authorId="0" shapeId="0" xr:uid="{031F3132-007D-4E9B-9D1A-34DA7141E59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2010-11: Approved Estimates,  P. II &amp; P. IX </t>
        </r>
      </text>
    </comment>
    <comment ref="E14" authorId="0" shapeId="0" xr:uid="{1757D6D8-62C4-42E8-8A51-E7357711581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2011-12: Approved Estimates,  P. II &amp; P. IX</t>
        </r>
      </text>
    </comment>
    <comment ref="F14" authorId="0" shapeId="0" xr:uid="{63CEDE04-EADD-468F-9B88-D8660D9CED1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2012-13: Approved Estimates,  P. II &amp; P. IX.</t>
        </r>
      </text>
    </comment>
    <comment ref="G14" authorId="0" shapeId="0" xr:uid="{F7DC3911-7343-4274-959B-6F1B631BC80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2013-14: Approved Estimates,  P. II &amp; P. X &amp; p.202.</t>
        </r>
      </text>
    </comment>
    <comment ref="H14" authorId="0" shapeId="0" xr:uid="{69E34716-23AA-4854-A611-A1300642893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2014-15: Approved Estimates,  P. II &amp; P. X.</t>
        </r>
      </text>
    </comment>
    <comment ref="I14" authorId="0" shapeId="0" xr:uid="{06171464-2EEB-405D-959C-4CC40C019B5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2015-16: Approved Estimates, P. X &amp; P. II.</t>
        </r>
      </text>
    </comment>
    <comment ref="J14" authorId="0" shapeId="0" xr:uid="{5DD4E51C-02DC-4BF4-8C5D-9D7CEF11E51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2016-17: Approved Estimates, P. X &amp; P. II.</t>
        </r>
      </text>
    </comment>
    <comment ref="K14" authorId="0" shapeId="0" xr:uid="{1C78512A-8724-406D-87F9-1A7627510A05}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2017-18: Approved Estimates, P. X &amp; P. II.</t>
        </r>
      </text>
    </comment>
    <comment ref="L14" authorId="0" shapeId="0" xr:uid="{7538923A-6D63-4C21-B013-4B23DBB65E4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2018-19: Approved Estimates, P. X &amp; P. IV.</t>
        </r>
      </text>
    </comment>
    <comment ref="M14" authorId="0" shapeId="0" xr:uid="{7357D15D-5C9E-49D1-A71E-784684C979E1}">
      <text>
        <r>
          <rPr>
            <b/>
            <sz val="9"/>
            <color indexed="81"/>
            <rFont val="Tahoma"/>
            <family val="2"/>
          </rPr>
          <t>Husnia Hushang:</t>
        </r>
        <r>
          <rPr>
            <sz val="9"/>
            <color indexed="81"/>
            <rFont val="Tahoma"/>
            <family val="2"/>
          </rPr>
          <t xml:space="preserve">
2019-20: Approved Estimates, P. XIII &amp; P. 255</t>
        </r>
      </text>
    </comment>
    <comment ref="N14" authorId="0" shapeId="0" xr:uid="{C187F713-B9D7-4422-B4A1-0330DCDC0D7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Approved bud 2020-21: p.II &amp; p. 214.</t>
        </r>
      </text>
    </comment>
    <comment ref="O14" authorId="1" shapeId="0" xr:uid="{CF333A6B-80D5-49DA-B200-1B977995EF9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2021_22 bud: Approved Estimates of Receipts &amp; Payments, p. II</t>
        </r>
      </text>
    </comment>
    <comment ref="P14" authorId="1" shapeId="0" xr:uid="{C8935050-CD9C-4BAA-A925-EABDC654AF3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2022_23 bud: Approved Estimates of Receipts &amp; Payments, p.II &amp; 219</t>
        </r>
      </text>
    </comment>
    <comment ref="B15" authorId="1" shapeId="0" xr:uid="{0D70421D-2D96-4455-B432-5C10463D63A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Approved bud 2009 -2010:  p.XV</t>
        </r>
      </text>
    </comment>
    <comment ref="C15" authorId="1" shapeId="0" xr:uid="{FA2568B2-E6B5-4C6E-AFEC-42946EDADC5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Approved bud 2009 -2010:  p.XV</t>
        </r>
      </text>
    </comment>
    <comment ref="D15" authorId="1" shapeId="0" xr:uid="{D944559E-66D0-415C-A010-C6D71772BA5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Approved bud 2011-2012:  p.XVII</t>
        </r>
      </text>
    </comment>
    <comment ref="E15" authorId="1" shapeId="0" xr:uid="{3D1063F2-C4D3-442C-9398-3EFA95C3DCE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Approved bud 2011-2012:  p.XVII</t>
        </r>
      </text>
    </comment>
    <comment ref="G15" authorId="1" shapeId="0" xr:uid="{31992CF5-1181-4DDB-A498-8D7827617ED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Approved bud 2014-2015: p.XIX</t>
        </r>
      </text>
    </comment>
    <comment ref="H15" authorId="1" shapeId="0" xr:uid="{35E2C477-6C69-452E-A6D0-B35309C3275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Approved bud 2014-2015: p.XIX</t>
        </r>
      </text>
    </comment>
    <comment ref="I15" authorId="1" shapeId="0" xr:uid="{DAD2B22F-66D2-4510-B37B-076BE0B98AE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Approved bud 2016-2017: p.XIX</t>
        </r>
      </text>
    </comment>
    <comment ref="J15" authorId="1" shapeId="0" xr:uid="{44383954-2A20-40AD-87AB-A6A78C2F487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Approved bud 2016-2017: p.XIX</t>
        </r>
      </text>
    </comment>
    <comment ref="K15" authorId="1" shapeId="0" xr:uid="{D1E69CF1-C89D-447A-877A-0942BE22872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Approved bud 2018-2019: p.XX</t>
        </r>
      </text>
    </comment>
    <comment ref="L15" authorId="1" shapeId="0" xr:uid="{A13BD29F-D54E-4D62-89D8-136D134C6AE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Approved bud 2018-2019: p.XX</t>
        </r>
      </text>
    </comment>
    <comment ref="M15" authorId="1" shapeId="0" xr:uid="{8210C202-E10C-426D-8C38-6E5C9CF5BBA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Approved bud 20-21: p.XXIV</t>
        </r>
      </text>
    </comment>
    <comment ref="N15" authorId="1" shapeId="0" xr:uid="{980A4A17-B80C-4F40-ABA5-6E7F41EC09E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Approved bud 20-21: p.XXIV</t>
        </r>
      </text>
    </comment>
    <comment ref="O15" authorId="1" shapeId="0" xr:uid="{A8C5D305-7726-4B4A-892A-814A4C49C66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Approved bud 22-23: p.XXIV</t>
        </r>
      </text>
    </comment>
    <comment ref="P15" authorId="1" shapeId="0" xr:uid="{4BC242CE-67A9-43D1-B57A-E70E22D33AB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Approved bud 22-23: p.XXIV</t>
        </r>
      </text>
    </comment>
    <comment ref="B17" authorId="1" shapeId="0" xr:uid="{DBA295C4-DAE5-4217-AE26-2F24EB064C1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2009: p. 20 &amp; 24</t>
        </r>
      </text>
    </comment>
    <comment ref="C17" authorId="1" shapeId="0" xr:uid="{9CE84913-43EB-4D4E-AA07-88D5104976D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2010: p. 20 &amp; 24</t>
        </r>
      </text>
    </comment>
    <comment ref="D17" authorId="1" shapeId="0" xr:uid="{BAF437B9-839E-4313-8A79-D733DBD19E3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2011: p. 20 &amp; 24</t>
        </r>
      </text>
    </comment>
    <comment ref="E17" authorId="1" shapeId="0" xr:uid="{0E227535-4554-4E87-A51D-40449001F80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2012: p. 21 &amp; 24</t>
        </r>
      </text>
    </comment>
    <comment ref="F17" authorId="1" shapeId="0" xr:uid="{FED95F4C-B2F4-4F54-BD57-EE37775BB75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2013: p. 19 &amp; 22</t>
        </r>
      </text>
    </comment>
    <comment ref="G17" authorId="1" shapeId="0" xr:uid="{7D9E1258-6375-4008-9940-CFB15DEA2F6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2014: p. 22 &amp; 27</t>
        </r>
      </text>
    </comment>
    <comment ref="H17" authorId="1" shapeId="0" xr:uid="{2CB480A3-BEF1-44C6-ACC7-1BCCBCE7016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2015: p. 22 &amp; 27</t>
        </r>
      </text>
    </comment>
    <comment ref="I17" authorId="1" shapeId="0" xr:uid="{EADE09BC-FEDD-4747-A19B-E37B9A8657A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2016: p. 25 &amp; 31</t>
        </r>
      </text>
    </comment>
    <comment ref="J17" authorId="1" shapeId="0" xr:uid="{936387C1-5516-4D57-A01D-96B723FAA33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2017: p. 25 &amp; 33</t>
        </r>
      </text>
    </comment>
    <comment ref="K17" authorId="1" shapeId="0" xr:uid="{8B4E45D5-6063-4E74-BE4A-755590E923A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2018: p. 26</t>
        </r>
      </text>
    </comment>
    <comment ref="L17" authorId="1" shapeId="0" xr:uid="{12F0FFF2-90D3-43E7-BBCF-C21F0E639F1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2019: p. 25 &amp; p. 33</t>
        </r>
      </text>
    </comment>
    <comment ref="M17" authorId="1" shapeId="0" xr:uid="{DF74C207-9131-44F7-8AD4-435574A1BAD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2020: p. 30 &amp; 38</t>
        </r>
      </text>
    </comment>
    <comment ref="N17" authorId="1" shapeId="0" xr:uid="{DAE7ABF6-937A-4726-8444-5CBAD21FAD7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2021: p. 26 &amp; 34</t>
        </r>
      </text>
    </comment>
    <comment ref="B18" authorId="1" shapeId="0" xr:uid="{330123A9-0FCD-426D-86F2-C7C3FE3A53C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2009: p. 51</t>
        </r>
      </text>
    </comment>
    <comment ref="C18" authorId="1" shapeId="0" xr:uid="{D8DF5A5D-FB5F-4C0A-B07B-92B7F108B9C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2010: p. 48</t>
        </r>
      </text>
    </comment>
    <comment ref="D18" authorId="1" shapeId="0" xr:uid="{A9DBD215-4AF8-4C20-A16B-79ACA04E2D1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2011: p. 47</t>
        </r>
      </text>
    </comment>
    <comment ref="E18" authorId="1" shapeId="0" xr:uid="{1B7AD251-F869-42E4-97A3-27CDC9EFE26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2012: p. 21 &amp; 51</t>
        </r>
      </text>
    </comment>
    <comment ref="F18" authorId="1" shapeId="0" xr:uid="{2BE2E99E-5820-4466-81C4-FCE1278B36F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2013: p. 49</t>
        </r>
      </text>
    </comment>
    <comment ref="G18" authorId="1" shapeId="0" xr:uid="{5A3F9F82-45C1-4C58-B670-52F9D179108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2015: p.54</t>
        </r>
      </text>
    </comment>
    <comment ref="H18" authorId="1" shapeId="0" xr:uid="{6D166BB9-CD5B-4278-BBB5-7AE580BD46F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2015: p.55</t>
        </r>
      </text>
    </comment>
    <comment ref="I18" authorId="1" shapeId="0" xr:uid="{D475CD11-BD78-4B38-92B0-4D0B1E57311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2016: p. 65</t>
        </r>
      </text>
    </comment>
    <comment ref="J18" authorId="1" shapeId="0" xr:uid="{7573F543-393E-46C3-8461-3B6124E43A5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2017: p. 66</t>
        </r>
      </text>
    </comment>
    <comment ref="K18" authorId="1" shapeId="0" xr:uid="{557AA41E-A9E2-4A5C-AD32-25AACB2CA4F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2018: p. 74</t>
        </r>
      </text>
    </comment>
    <comment ref="L18" authorId="1" shapeId="0" xr:uid="{8AD82AF7-FD4A-4DED-8BF6-E5DAC3020F7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2019: p. 74</t>
        </r>
      </text>
    </comment>
    <comment ref="M18" authorId="1" shapeId="0" xr:uid="{8B95E2F2-279F-4C4E-B221-9AFFA5DF2FE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2020: p. 82</t>
        </r>
      </text>
    </comment>
    <comment ref="N18" authorId="1" shapeId="0" xr:uid="{0F5E2E84-B928-451B-83DE-1D52130A22A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2021: p. 76</t>
        </r>
      </text>
    </comment>
    <comment ref="B22" authorId="0" shapeId="0" xr:uid="{FA87AC59-1D2D-42B9-AA50-DD00A4A7AE6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2008-2009: Approved Estimates,  P. II.</t>
        </r>
      </text>
    </comment>
    <comment ref="C22" authorId="0" shapeId="0" xr:uid="{9DCB7C73-4A91-4257-A250-774F4D3476D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2009-2010: Approved Estimates, P.II &amp; P.</t>
        </r>
      </text>
    </comment>
    <comment ref="D22" authorId="0" shapeId="0" xr:uid="{E05867E1-EBFB-4316-A3F6-B0A173691D5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2010-11: Approved Estimates,  P. II &amp; P. IX &amp; P. 338</t>
        </r>
      </text>
    </comment>
    <comment ref="E22" authorId="0" shapeId="0" xr:uid="{CF19D5F2-E47E-45FA-8DF2-0963E1BA6E9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2011-12: Approved Estimates,  P. II &amp; P. IX &amp; P 199</t>
        </r>
      </text>
    </comment>
    <comment ref="F22" authorId="0" shapeId="0" xr:uid="{47AA6F24-63C6-4CD6-8C76-6BB3074E9A4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2012-13: Approved Estimates,  P. II &amp; P. IX. &amp; P. 212</t>
        </r>
      </text>
    </comment>
    <comment ref="G22" authorId="0" shapeId="0" xr:uid="{4486AEA3-4B9A-4D6F-9169-D092F46A306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2014-15: Approved Estimates,  P. II &amp; P. X &amp; P 230</t>
        </r>
      </text>
    </comment>
    <comment ref="H22" authorId="0" shapeId="0" xr:uid="{04D8972F-D898-4C73-B8ED-3708834D426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2014-15: Approved Estimates,  P. II &amp; P. X &amp; P. 233.</t>
        </r>
      </text>
    </comment>
    <comment ref="I22" authorId="0" shapeId="0" xr:uid="{C521CD5A-5B08-4024-B7E6-AAD7C6727AD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2015-16: Approved Estimates, P. X &amp; P. II &amp; P 234</t>
        </r>
      </text>
    </comment>
    <comment ref="J22" authorId="0" shapeId="0" xr:uid="{BFC2297F-D0AC-433D-909D-70E9F189D3C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2016-17: Approved Estimates, P. X &amp; P. II &amp; P 244</t>
        </r>
      </text>
    </comment>
    <comment ref="K22" authorId="0" shapeId="0" xr:uid="{49DDA265-63E3-4371-8A24-84CBC7E8DD6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2017-18: Approved Estimates, P. X &amp; P. II &amp; P. 246</t>
        </r>
      </text>
    </comment>
    <comment ref="L22" authorId="0" shapeId="0" xr:uid="{166EFACF-99CF-40D9-8256-AA1C673E0B0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2018-19: Approved Estimates, P. X &amp; P.248</t>
        </r>
      </text>
    </comment>
    <comment ref="M22" authorId="0" shapeId="0" xr:uid="{7D0543A4-9B12-4CAD-9119-AE873FC104A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2019-20: Approved Estimates, P. XIII &amp; P. 263</t>
        </r>
      </text>
    </comment>
    <comment ref="N22" authorId="0" shapeId="0" xr:uid="{C3287CA8-16E8-4D90-A43A-094E7E6466D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Approved bud 20-21:  P. II &amp; XIII &amp; P 254</t>
        </r>
      </text>
    </comment>
    <comment ref="O22" authorId="1" shapeId="0" xr:uid="{364C36C7-8323-4A78-8E83-20FF07273EA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2021_22 bud: Approved Estimates of Receipts &amp; Payments, p.II &amp; p XIII </t>
        </r>
      </text>
    </comment>
    <comment ref="P22" authorId="1" shapeId="0" xr:uid="{62EF548B-7D5D-4979-A0BA-499BFECA4A9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2022_23 bud: Approved Estimates of Receipts &amp; Payments, p.II &amp; p XIII &amp; 258</t>
        </r>
      </text>
    </comment>
    <comment ref="B23" authorId="1" shapeId="0" xr:uid="{331C6C6C-95D6-424C-9DB7-BFA9225046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2009: p. 20 &amp; 44</t>
        </r>
      </text>
    </comment>
    <comment ref="C23" authorId="1" shapeId="0" xr:uid="{86141093-CFAB-43B2-87FD-42B1B9173AC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2010: p. 41</t>
        </r>
      </text>
    </comment>
    <comment ref="D23" authorId="1" shapeId="0" xr:uid="{EEB68868-2EE6-4F39-B816-8BB047A9828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2011: p. 20 &amp; 40</t>
        </r>
      </text>
    </comment>
    <comment ref="E23" authorId="1" shapeId="0" xr:uid="{C4FD9EDB-497B-4F12-A59C-9606EB3C6A6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2012: p. 21 &amp; 44</t>
        </r>
      </text>
    </comment>
    <comment ref="F23" authorId="1" shapeId="0" xr:uid="{1857EF87-1DE2-49F7-8DF5-875C7ABDCF9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2013: p. 19 &amp; 42</t>
        </r>
      </text>
    </comment>
    <comment ref="G23" authorId="1" shapeId="0" xr:uid="{30B0DC31-3077-4A2F-A271-E1CE6861AA0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2014: p. 22 &amp; 47</t>
        </r>
      </text>
    </comment>
    <comment ref="H23" authorId="1" shapeId="0" xr:uid="{665E02D9-A708-4C27-ADE6-FAA615BA3CE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2015: p. 22 &amp; 48</t>
        </r>
      </text>
    </comment>
    <comment ref="I23" authorId="1" shapeId="0" xr:uid="{D4D47B2E-11A3-4FA0-B2B3-E723A7A6591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2016: p. 25 &amp; 56</t>
        </r>
      </text>
    </comment>
    <comment ref="J23" authorId="1" shapeId="0" xr:uid="{FAC46ADC-C742-4833-846B-CC505F1959E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2017: p. 25 &amp; 58</t>
        </r>
      </text>
    </comment>
    <comment ref="K23" authorId="1" shapeId="0" xr:uid="{46E15C12-E186-445C-AF70-C6A312AED14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2018: p. 26 &amp; 65</t>
        </r>
      </text>
    </comment>
    <comment ref="L23" authorId="1" shapeId="0" xr:uid="{5362B749-97F9-4146-973C-207015E9D27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2019: p. 25 &amp; p. 33 &amp; p. 65</t>
        </r>
      </text>
    </comment>
    <comment ref="M23" authorId="1" shapeId="0" xr:uid="{251CECA7-AB7F-42C7-9B39-417DC99743C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2020: p. 30 &amp; 72</t>
        </r>
      </text>
    </comment>
    <comment ref="N23" authorId="1" shapeId="0" xr:uid="{74271B85-1BF5-4210-B8D2-A2F9F96DD9D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2021: p. 26 &amp; 66</t>
        </r>
      </text>
    </comment>
    <comment ref="F24" authorId="1" shapeId="0" xr:uid="{DCF9CE71-B075-4470-A65D-A156C939291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2013: p. 51</t>
        </r>
      </text>
    </comment>
    <comment ref="G24" authorId="1" shapeId="0" xr:uid="{A3C65056-AA98-448F-98A4-F479BFBA41A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2014: p. 56</t>
        </r>
      </text>
    </comment>
    <comment ref="H24" authorId="1" shapeId="0" xr:uid="{458631CC-ACF4-4292-9DCC-9B9D92AB2F3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2015: p. 57</t>
        </r>
      </text>
    </comment>
    <comment ref="I24" authorId="1" shapeId="0" xr:uid="{16E14BF7-9621-40FD-A261-C03B7DA9C60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2016: p. 67</t>
        </r>
      </text>
    </comment>
    <comment ref="B28" authorId="0" shapeId="0" xr:uid="{4158388F-6B9A-42A4-8978-0DC9D17C2AC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2008-2009: Approved Estimates,  P. II. &amp; P. 271.</t>
        </r>
      </text>
    </comment>
    <comment ref="C28" authorId="0" shapeId="0" xr:uid="{F2879A00-78B9-402C-8C8E-0C9544F069D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2009-2010: Approved Estimates, P.II &amp; P. 307</t>
        </r>
      </text>
    </comment>
    <comment ref="D28" authorId="0" shapeId="0" xr:uid="{78503455-89FD-40A7-9425-28E1E3C01BF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2010-11: Approved Estimates,  P. II &amp; P. IX </t>
        </r>
      </text>
    </comment>
    <comment ref="E28" authorId="0" shapeId="0" xr:uid="{6BEE4E52-A32D-41CC-B28B-E5E0EB0852C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2011-12: Approved Estimates,  P. II &amp; P. IX</t>
        </r>
      </text>
    </comment>
    <comment ref="F28" authorId="0" shapeId="0" xr:uid="{7E435BED-743C-43CA-95E0-D767E8D1545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2012-13: Approved Estimates,  P. II &amp; P. IX &amp; P.184.</t>
        </r>
      </text>
    </comment>
    <comment ref="G28" authorId="0" shapeId="0" xr:uid="{B315AA81-FB39-4DD4-BC86-D5C716F025F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2013-14: Approved Estimates,  P. II &amp; P. X.</t>
        </r>
      </text>
    </comment>
    <comment ref="H28" authorId="0" shapeId="0" xr:uid="{4469EAE7-6D98-4E7F-B3DD-669AACF8D0A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2014-15: Approved Estimates,  P. II &amp; P. X.</t>
        </r>
      </text>
    </comment>
    <comment ref="I28" authorId="0" shapeId="0" xr:uid="{FBB9FC57-B7C9-43D0-85C8-68143EF7A3A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2015-16: Approved Estimates, P. X &amp; P. II.</t>
        </r>
      </text>
    </comment>
    <comment ref="J28" authorId="0" shapeId="0" xr:uid="{1224372B-57FB-4CD9-B9D7-0F87F78DB3C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2016-17: Approved Estimates, P. X &amp; P. II.</t>
        </r>
      </text>
    </comment>
    <comment ref="K28" authorId="0" shapeId="0" xr:uid="{B2EE7B5C-9ACB-42CB-8436-0C2994B0578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2017-18: Approved Estimates, P. X &amp; P. II.</t>
        </r>
      </text>
    </comment>
    <comment ref="L28" authorId="0" shapeId="0" xr:uid="{32E88174-E356-4E93-BB17-BDC0CC432AB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2018-19: Approved Estimates, P. X &amp; P. IV.</t>
        </r>
      </text>
    </comment>
    <comment ref="M28" authorId="0" shapeId="0" xr:uid="{115916B2-C4E1-434C-B35C-77E2A578869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2019-20: Approved Estimates, P. XIII</t>
        </r>
      </text>
    </comment>
    <comment ref="N28" authorId="0" shapeId="0" xr:uid="{EE34381F-F0B0-42BA-B439-4C5AB283AF7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Approved bud 2020-21: p.II &amp; p. 235.</t>
        </r>
      </text>
    </comment>
    <comment ref="O28" authorId="1" shapeId="0" xr:uid="{2719C28B-7D9A-4ABD-B4ED-35FF16E01D7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2021_22 bud: Approved Estimates of Receipts &amp; Payments, p.II &amp; p XIII</t>
        </r>
      </text>
    </comment>
    <comment ref="P28" authorId="1" shapeId="0" xr:uid="{0E2E2AE0-968E-4EDA-A5E9-2229CC5C089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2022_23 bud: Approved Estimates of Receipts &amp; Payments, p.II &amp; p XIII &amp; 239</t>
        </r>
      </text>
    </comment>
    <comment ref="B29" authorId="1" shapeId="0" xr:uid="{331AAD32-EEF9-491A-A4A4-C2D32CAEA75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2009: p. 20 &amp; 23</t>
        </r>
      </text>
    </comment>
    <comment ref="C29" authorId="1" shapeId="0" xr:uid="{5A955AA1-6A40-40C6-BF2F-E15DC3D27F9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2010: p. 20 &amp; 23</t>
        </r>
      </text>
    </comment>
    <comment ref="D29" authorId="1" shapeId="0" xr:uid="{D7DB3BE8-4A47-4389-A72A-83E618A05E8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2011: p. 20 &amp; 23</t>
        </r>
      </text>
    </comment>
    <comment ref="E29" authorId="1" shapeId="0" xr:uid="{BE71515C-2A4F-48D7-8C7B-1072E8BB307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2012: p. 21 &amp; 23</t>
        </r>
      </text>
    </comment>
    <comment ref="F29" authorId="1" shapeId="0" xr:uid="{0FD0CE6A-F6F3-4507-96F5-B066293CABC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2013: p. 19 &amp; 21</t>
        </r>
      </text>
    </comment>
    <comment ref="G29" authorId="1" shapeId="0" xr:uid="{C9F09564-FCFF-4D70-8C8D-5C5830B2DEA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2014: p. 22 &amp; 26</t>
        </r>
      </text>
    </comment>
    <comment ref="H29" authorId="1" shapeId="0" xr:uid="{94FC6E01-7186-4DFE-B511-207CD83FE68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2015: p. 22 &amp; 26</t>
        </r>
      </text>
    </comment>
    <comment ref="I29" authorId="1" shapeId="0" xr:uid="{5F71D43F-123D-4985-86E9-79671BBBF34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2016: p. 25 &amp; 30</t>
        </r>
      </text>
    </comment>
    <comment ref="J29" authorId="1" shapeId="0" xr:uid="{8221DC65-EA17-4057-B990-406CB5A7A71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2017: p. 25 &amp; 31</t>
        </r>
      </text>
    </comment>
    <comment ref="K29" authorId="1" shapeId="0" xr:uid="{29869934-EC96-41D2-AFFC-8016BE8046C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2018: p. 26 &amp; 33</t>
        </r>
      </text>
    </comment>
    <comment ref="L29" authorId="1" shapeId="0" xr:uid="{A58FBAE9-15EC-46BB-980E-2DB161CA4A8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2019: p. 25 &amp; p.32</t>
        </r>
      </text>
    </comment>
    <comment ref="M29" authorId="1" shapeId="0" xr:uid="{D06611D0-E47D-4F57-81E3-B1C5D568373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2020: p. 30 &amp; 37</t>
        </r>
      </text>
    </comment>
    <comment ref="N29" authorId="1" shapeId="0" xr:uid="{D2AC756A-07B6-4D09-A26B-552992FE722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2021: p. 26 &amp; 33</t>
        </r>
      </text>
    </comment>
    <comment ref="B30" authorId="1" shapeId="0" xr:uid="{413839AE-805C-460F-8F34-A9ACBE1A93A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2009: p. 53</t>
        </r>
      </text>
    </comment>
    <comment ref="C30" authorId="1" shapeId="0" xr:uid="{11AD81FF-6207-4D33-8D05-12E48BA13DD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2010: p. 50</t>
        </r>
      </text>
    </comment>
    <comment ref="D30" authorId="1" shapeId="0" xr:uid="{1D23BBDC-C36E-4E8E-88BE-9504BC7885D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2011: p. 49</t>
        </r>
      </text>
    </comment>
    <comment ref="E30" authorId="1" shapeId="0" xr:uid="{2C82662E-FE20-4BE3-B89D-822BCACDFBD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2012: p. 53</t>
        </r>
      </text>
    </comment>
    <comment ref="F30" authorId="1" shapeId="0" xr:uid="{21BDB997-9FC8-4224-93C0-1928B908192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2013: p. 51</t>
        </r>
      </text>
    </comment>
    <comment ref="G30" authorId="1" shapeId="0" xr:uid="{7B06CCCB-70BC-4C47-AFF8-DE7BE15FBD5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2014: p. 56</t>
        </r>
      </text>
    </comment>
    <comment ref="I30" authorId="1" shapeId="0" xr:uid="{15C96BF3-45AC-45F9-A28F-4808AC97AF7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2016: p. 67</t>
        </r>
      </text>
    </comment>
    <comment ref="M30" authorId="1" shapeId="0" xr:uid="{6FED8C0D-06AB-4336-A623-DE162361CB1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2020: p. 84</t>
        </r>
      </text>
    </comment>
    <comment ref="N30" authorId="1" shapeId="0" xr:uid="{43470AB6-B010-4FF2-9C8A-94A62EA4EB6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2021: p. 78</t>
        </r>
      </text>
    </comment>
    <comment ref="B34" authorId="0" shapeId="0" xr:uid="{ACD1F4F7-C1DE-4958-B93A-A5504E4A2D0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2008-2009: Approved Estimates,  P. II. &amp; p. 191</t>
        </r>
      </text>
    </comment>
    <comment ref="C34" authorId="0" shapeId="0" xr:uid="{4091158C-3CF3-4080-AE62-3FEEC12507D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2009-2010: Approved Estimates, P.II &amp; P. 213</t>
        </r>
      </text>
    </comment>
    <comment ref="D34" authorId="0" shapeId="0" xr:uid="{9880624C-1AC9-4F64-BEF6-DFF3D6A309F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2010-11: Approved Estimates,  P. II &amp; P. IX &amp; P.222</t>
        </r>
      </text>
    </comment>
    <comment ref="E34" authorId="0" shapeId="0" xr:uid="{22EACA14-5E25-48BA-A918-AB0D58CAD7E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2011-12: Approved Estimates,  P. II &amp; P. IX &amp; P.118</t>
        </r>
      </text>
    </comment>
    <comment ref="F34" authorId="0" shapeId="0" xr:uid="{54FAF705-5B2B-4C62-8871-D3FFA135667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2012-13: Approved Estimates,  P. II &amp; P. IX &amp; P. 129.</t>
        </r>
      </text>
    </comment>
    <comment ref="G34" authorId="0" shapeId="0" xr:uid="{0112D8EB-DCE5-4877-9A59-158D800B382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2013-14: Approved Estimates,  P. II &amp; P. X &amp; 137.</t>
        </r>
      </text>
    </comment>
    <comment ref="H34" authorId="0" shapeId="0" xr:uid="{87BAAF0C-E803-43E1-9021-22123F17233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2014-15: Approved Estimates,  P. II &amp; P. X.</t>
        </r>
      </text>
    </comment>
    <comment ref="I34" authorId="0" shapeId="0" xr:uid="{F41F9D4E-F9C0-47BD-9560-68C68044E9B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2015-16: Approved Estimates, P. X &amp; P. II.</t>
        </r>
      </text>
    </comment>
    <comment ref="J34" authorId="0" shapeId="0" xr:uid="{EB624686-1F09-401D-80EB-9AAB9CF8081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2016-17: Approved Estimates, P. X &amp; P. II.</t>
        </r>
      </text>
    </comment>
    <comment ref="K34" authorId="0" shapeId="0" xr:uid="{9563A703-E14B-4471-ABD7-D2A0EDAC474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2017-18: Approved Estimates, P. X &amp; P. II.</t>
        </r>
      </text>
    </comment>
    <comment ref="L34" authorId="0" shapeId="0" xr:uid="{2C9EF1E6-6E72-4E88-9EE8-E0B153F8F6C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2018-19: Approved Estimates, P. X &amp; P. IV.</t>
        </r>
      </text>
    </comment>
    <comment ref="M34" authorId="0" shapeId="0" xr:uid="{83383171-9F53-42BC-8557-E06D7D06739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2019-20: Approved Estimates, P. XIII &amp; P 149</t>
        </r>
      </text>
    </comment>
    <comment ref="N34" authorId="0" shapeId="0" xr:uid="{4E7243D5-EF8D-40AB-99BA-24FE41F7A2E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Approved bud 2020-21: p.II &amp; p. 142.</t>
        </r>
      </text>
    </comment>
    <comment ref="O34" authorId="1" shapeId="0" xr:uid="{36F38F86-25F3-4650-A34A-743DCD43817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2021_22 bud: Approved Estimates of Receipts &amp; Payments, p.II &amp; p XIII &amp; p. 143</t>
        </r>
      </text>
    </comment>
    <comment ref="P34" authorId="1" shapeId="0" xr:uid="{C64049E2-8806-4CAD-8AB0-9F28AAFDDA1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2022_23 bud: Approved Estimates of Receipts &amp; Payments, p.II &amp; p XIII &amp; 152</t>
        </r>
      </text>
    </comment>
    <comment ref="B35" authorId="1" shapeId="0" xr:uid="{22C0B46C-FFB2-4585-873E-A8CEAA58DD1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2009: p. 20 &amp; 42</t>
        </r>
      </text>
    </comment>
    <comment ref="C35" authorId="1" shapeId="0" xr:uid="{565A1AA0-D824-4D02-A5B7-834AA9613A4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2010: p. 20 &amp; 39</t>
        </r>
      </text>
    </comment>
    <comment ref="D35" authorId="1" shapeId="0" xr:uid="{CD4F1C74-5180-481F-9C48-14D8E9380A9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2011: p. 20 &amp; 38</t>
        </r>
      </text>
    </comment>
    <comment ref="E35" authorId="1" shapeId="0" xr:uid="{359515B0-90FB-489F-A45E-F2642CD520E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2012: p. 21 &amp; 42</t>
        </r>
      </text>
    </comment>
    <comment ref="F35" authorId="1" shapeId="0" xr:uid="{0FF6D368-014F-46AA-B921-9EF7F64DAFE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2013: p. 19 &amp; 40</t>
        </r>
      </text>
    </comment>
    <comment ref="G35" authorId="1" shapeId="0" xr:uid="{3E4B9BA5-AF17-453A-A88F-40C2C92C5DC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2014: p. 22 &amp; 45</t>
        </r>
      </text>
    </comment>
    <comment ref="H35" authorId="1" shapeId="0" xr:uid="{CB47C8FB-2017-4184-889B-A90941274E4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Accounts 2015: p. 22 &amp; 45</t>
        </r>
      </text>
    </comment>
    <comment ref="I35" authorId="1" shapeId="0" xr:uid="{50C3B1F8-72A7-4CE8-9569-3A14835BAF4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2016: p. 25 &amp; 53</t>
        </r>
      </text>
    </comment>
    <comment ref="J35" authorId="1" shapeId="0" xr:uid="{A0C565C2-94D9-480B-B4FF-607ADE36487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2017: p. 25 &amp; 54</t>
        </r>
      </text>
    </comment>
    <comment ref="K35" authorId="1" shapeId="0" xr:uid="{2CF3CD44-EC33-4976-8467-6D15141B80B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2018: p. 26 &amp; 61</t>
        </r>
      </text>
    </comment>
    <comment ref="L35" authorId="1" shapeId="0" xr:uid="{24E2ED4F-162E-4909-B18C-0BA2A546D1F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2019: p. 25 &amp; 61</t>
        </r>
      </text>
    </comment>
    <comment ref="M35" authorId="1" shapeId="0" xr:uid="{3CF7FB75-4FDD-4140-84BC-228F9DF894A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2020: p. 30 &amp; 67</t>
        </r>
      </text>
    </comment>
    <comment ref="N35" authorId="1" shapeId="0" xr:uid="{20B03B8F-F5D7-4B63-9A07-9BB9B6302E5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2021: p.26 &amp; 62</t>
        </r>
      </text>
    </comment>
    <comment ref="D36" authorId="1" shapeId="0" xr:uid="{AF496DE7-2CFB-46F2-A1F1-E05886FA9DC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2011: p. 49</t>
        </r>
      </text>
    </comment>
    <comment ref="E36" authorId="1" shapeId="0" xr:uid="{724102E6-64F7-4421-B8D1-65978DAFE42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2012: p. 53</t>
        </r>
      </text>
    </comment>
    <comment ref="F36" authorId="1" shapeId="0" xr:uid="{64DFECE2-E8DC-41A8-AF53-6CE3BB62D6F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2013: p. 51</t>
        </r>
      </text>
    </comment>
    <comment ref="G36" authorId="1" shapeId="0" xr:uid="{AB618EB0-CFA9-4EF9-9088-FFF7486FF96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2014: p. 56</t>
        </r>
      </text>
    </comment>
    <comment ref="H36" authorId="1" shapeId="0" xr:uid="{570D5122-152E-43A6-8772-260514132DB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Accounts 2015: p. 57</t>
        </r>
      </text>
    </comment>
    <comment ref="I36" authorId="1" shapeId="0" xr:uid="{E23A257C-DC0F-4445-AAB7-062A717A512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2016: p. 67</t>
        </r>
      </text>
    </comment>
    <comment ref="J36" authorId="1" shapeId="0" xr:uid="{661BCB12-EDB0-4BA9-92BD-6576B97791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2017: p.68</t>
        </r>
      </text>
    </comment>
    <comment ref="K36" authorId="1" shapeId="0" xr:uid="{FE966207-C820-4975-82D1-6B32A8D551F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2018: p. 76</t>
        </r>
      </text>
    </comment>
    <comment ref="L36" authorId="1" shapeId="0" xr:uid="{749C8703-4A2F-4A64-AD73-9ACC34222BB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2019: p. 78</t>
        </r>
      </text>
    </comment>
    <comment ref="M36" authorId="1" shapeId="0" xr:uid="{15F53274-B6F6-4143-98E1-4CBC5E2EB82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2020: p. 84</t>
        </r>
      </text>
    </comment>
    <comment ref="N36" authorId="1" shapeId="0" xr:uid="{C4E812B5-C596-429E-91FB-A15DC65BA92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2021: p.78</t>
        </r>
      </text>
    </comment>
    <comment ref="O40" authorId="1" shapeId="0" xr:uid="{E43BF94F-5CED-4441-9588-1BFF18B6730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2021_22 bud: Approved Estimates of Receipts &amp; Payments, p.216</t>
        </r>
      </text>
    </comment>
    <comment ref="B44" authorId="0" shapeId="0" xr:uid="{AD67E78C-58D2-4089-9C2D-B69A6ECF545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2008-2009: Approved Estimates,  P. I.</t>
        </r>
      </text>
    </comment>
    <comment ref="C44" authorId="0" shapeId="0" xr:uid="{53C3896F-FEA9-4675-927E-F7040BBAB76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2009-2010: Approved Estimates,  P. I.</t>
        </r>
      </text>
    </comment>
    <comment ref="D44" authorId="0" shapeId="0" xr:uid="{99B94C1C-D11B-47D7-B200-C5FC633C55F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2010-11: Approved Estimates,  P. I.</t>
        </r>
      </text>
    </comment>
    <comment ref="E44" authorId="0" shapeId="0" xr:uid="{81C9B931-63CC-4D40-9195-54862C483F5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2011-12: Approved Estimates,  P. I.</t>
        </r>
      </text>
    </comment>
    <comment ref="F44" authorId="0" shapeId="0" xr:uid="{6BF7D898-AFDD-4799-8FB5-2A12C29AEAB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2012-13: Approved Estimates,  P. I.</t>
        </r>
      </text>
    </comment>
    <comment ref="G44" authorId="0" shapeId="0" xr:uid="{9FA57C5C-E590-4608-A1AA-560EE3A00A0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2013-14: Approved Estimates,  P. I.</t>
        </r>
      </text>
    </comment>
    <comment ref="H44" authorId="0" shapeId="0" xr:uid="{52C4189F-9643-49FE-A5F9-7C8884A32A3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2014-15: Approved Estimates,  P. I.</t>
        </r>
      </text>
    </comment>
    <comment ref="I44" authorId="0" shapeId="0" xr:uid="{7B7948A7-C837-4FF5-AC88-C88862BCF42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2015-16: Approved Estimates, P. X &amp; P. II.</t>
        </r>
      </text>
    </comment>
    <comment ref="J44" authorId="0" shapeId="0" xr:uid="{3B77E29F-38DB-4EE7-800A-96B54DFBED5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2016-17: Approved Estimates, P. I.</t>
        </r>
      </text>
    </comment>
    <comment ref="K44" authorId="0" shapeId="0" xr:uid="{4669EB26-A095-4661-B765-760A50745C9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2017-18: Approved Estimates, P.I.</t>
        </r>
      </text>
    </comment>
    <comment ref="L44" authorId="0" shapeId="0" xr:uid="{0540BF53-4580-4D84-A4E2-521F76292E0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2018-19: Approved Estimates, P. I</t>
        </r>
      </text>
    </comment>
    <comment ref="M44" authorId="0" shapeId="0" xr:uid="{1B2CDB08-C121-4470-9DB1-2E003B2891D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2019-20: Approved Estimates, P.I</t>
        </r>
      </text>
    </comment>
    <comment ref="O44" authorId="1" shapeId="0" xr:uid="{F9B2896F-4BB9-4BB5-9DA6-4FF035B0B24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2021_22 bud: Approved Estimates of Receipts &amp; Payments, p.I</t>
        </r>
      </text>
    </comment>
    <comment ref="P44" authorId="1" shapeId="0" xr:uid="{36F1E299-A899-47DD-8B10-07E66950AA0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2022_23 bud: Approved Estimates of Receipts &amp; Payments, p.I</t>
        </r>
      </text>
    </comment>
    <comment ref="B46" authorId="1" shapeId="0" xr:uid="{6ACCFE72-32F3-457F-A93B-2461B6B116F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2009: p. 13</t>
        </r>
      </text>
    </comment>
    <comment ref="C46" authorId="1" shapeId="0" xr:uid="{C0A920F0-6E45-452E-AD84-23F0C6E8BC1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2010: p. 13</t>
        </r>
      </text>
    </comment>
    <comment ref="D46" authorId="1" shapeId="0" xr:uid="{D680E648-189D-4541-9CEC-AE3F80389C8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2011: p. 13</t>
        </r>
      </text>
    </comment>
    <comment ref="E46" authorId="1" shapeId="0" xr:uid="{E26ECD99-2A71-4982-846B-CCC4564D490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2012: p. 13</t>
        </r>
      </text>
    </comment>
    <comment ref="F46" authorId="1" shapeId="0" xr:uid="{1E6A83C0-FCA4-481B-A392-385DE66F40F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2013: p. 13</t>
        </r>
      </text>
    </comment>
    <comment ref="G46" authorId="1" shapeId="0" xr:uid="{4B78549B-6AF7-4B6A-8AD1-C45B317B04E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2015: p. 14</t>
        </r>
      </text>
    </comment>
    <comment ref="H46" authorId="1" shapeId="0" xr:uid="{707452D9-BF49-419D-9B39-1F785872D6A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2015: p. 14</t>
        </r>
      </text>
    </comment>
    <comment ref="I46" authorId="1" shapeId="0" xr:uid="{23051E70-44D8-4274-A185-B6A8454254C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Gov of Samoa Public Accounts 2016: p. 15</t>
        </r>
      </text>
    </comment>
    <comment ref="J46" authorId="1" shapeId="0" xr:uid="{2FA70D59-5DBE-4C7D-982C-B87A63EC857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2017: p. 14</t>
        </r>
      </text>
    </comment>
    <comment ref="K46" authorId="1" shapeId="0" xr:uid="{53690835-7D22-48FD-A5B8-AF9C1EA77FE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2018 p. 14</t>
        </r>
      </text>
    </comment>
    <comment ref="L46" authorId="1" shapeId="0" xr:uid="{D0A6A883-F95D-4463-8446-FE643059114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2019: p. 14</t>
        </r>
      </text>
    </comment>
    <comment ref="M46" authorId="1" shapeId="0" xr:uid="{A103A13A-5533-479D-A3A9-92BE0633BE6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2020: p. 14</t>
        </r>
      </text>
    </comment>
    <comment ref="N46" authorId="1" shapeId="0" xr:uid="{16D22A9E-F642-4358-B742-F99C5F0F2CE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2021: p. 14</t>
        </r>
      </text>
    </comment>
    <comment ref="B50" authorId="1" shapeId="0" xr:uid="{48D093A5-8D14-41D7-96B6-79E6F097E71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2009-10: Approved Estimates,  P. 241</t>
        </r>
      </text>
    </comment>
    <comment ref="C50" authorId="1" shapeId="0" xr:uid="{25D2A39F-A338-47BB-82B6-D3E43B43B03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2009-10: Approved Estimates,  P. 241</t>
        </r>
      </text>
    </comment>
    <comment ref="D50" authorId="1" shapeId="0" xr:uid="{E1E8FC45-571C-4785-8C6C-3FEB0ECD11F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2011-12: Approved Estimates,  P. 129</t>
        </r>
      </text>
    </comment>
    <comment ref="E50" authorId="1" shapeId="0" xr:uid="{21B608C9-1BF8-43E1-B534-4A034250110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2011-12: Approved Estimates,  P. 129</t>
        </r>
      </text>
    </comment>
    <comment ref="F50" authorId="1" shapeId="0" xr:uid="{ED5C011D-B948-4027-A397-A94D71A469F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2013-14: Approved Estimates,  P. 149</t>
        </r>
      </text>
    </comment>
    <comment ref="G50" authorId="1" shapeId="0" xr:uid="{5E51043E-CFC8-44D4-B676-57A7C5DE9DC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2013-14: Approved Estimates,  P. 149</t>
        </r>
      </text>
    </comment>
    <comment ref="H50" authorId="1" shapeId="0" xr:uid="{CE540774-B688-4B58-9A6D-14083A1AD09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2015-16: Approved Estimates, P. 152</t>
        </r>
      </text>
    </comment>
    <comment ref="I50" authorId="1" shapeId="0" xr:uid="{9FFDC00A-2444-4403-BC3F-BF1FD9AD6BB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2015-16: Approved Estimates, P. 152</t>
        </r>
      </text>
    </comment>
    <comment ref="J50" authorId="1" shapeId="0" xr:uid="{29EE789F-A9D5-42AD-8519-F0634E71A49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2017-18: Approved Estimates, P. 150</t>
        </r>
      </text>
    </comment>
    <comment ref="K50" authorId="1" shapeId="0" xr:uid="{3014DBDF-E1F6-4499-908E-B33F7F89EC0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2017-18: Approved Estimates, P. 150</t>
        </r>
      </text>
    </comment>
    <comment ref="L50" authorId="1" shapeId="0" xr:uid="{D4BF0B13-A3DA-4F96-BC51-D562A6ED713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2019_20 bud: Approved Estimates of Receipts &amp; Payments, p.168</t>
        </r>
      </text>
    </comment>
    <comment ref="M50" authorId="1" shapeId="0" xr:uid="{0C98067C-3241-4A3D-80F4-E000DBA8D6E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2019_20 bud: Approved Estimates of Receipts &amp; Payments, p.168</t>
        </r>
      </text>
    </comment>
    <comment ref="O50" authorId="1" shapeId="0" xr:uid="{6D8B6CD3-90A1-431B-905E-EA1159357D6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2021_22 bud: Approved Estimates of Receipts &amp; Payments, p.156</t>
        </r>
      </text>
    </comment>
    <comment ref="C51" authorId="1" shapeId="0" xr:uid="{45A73FFD-9181-47D5-8501-B991D567A7F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2011: p. 40</t>
        </r>
      </text>
    </comment>
    <comment ref="D51" authorId="1" shapeId="0" xr:uid="{83C46CE1-4CB8-4B9B-B30E-E3A91FF0464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2011: p. 39</t>
        </r>
      </text>
    </comment>
    <comment ref="E51" authorId="1" shapeId="0" xr:uid="{EAD0B00C-4EAE-4A0A-A3E0-54317F22302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Public Accounts 2012: p. 43</t>
        </r>
      </text>
    </comment>
    <comment ref="F51" authorId="1" shapeId="0" xr:uid="{6BB45518-0811-49AD-8EEA-A48D913C3EC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Public Accounts 2013: p. 41</t>
        </r>
      </text>
    </comment>
    <comment ref="G51" authorId="1" shapeId="0" xr:uid="{95CFDC62-0200-4394-A581-187DB97BE9A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Public Accounts 2014: p. 46</t>
        </r>
      </text>
    </comment>
    <comment ref="H51" authorId="1" shapeId="0" xr:uid="{3BAB3857-B4E7-4360-A665-E380B45D65B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Accounts 2015: p. 46</t>
        </r>
      </text>
    </comment>
    <comment ref="I51" authorId="1" shapeId="0" xr:uid="{BEEBD4C9-EC22-49D1-81FA-8A1EAB5A365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2016: p. 53</t>
        </r>
      </text>
    </comment>
    <comment ref="K51" authorId="1" shapeId="0" xr:uid="{B1B4FAB1-0C9F-44F2-B51A-578FADD609D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2018: p.  62</t>
        </r>
      </text>
    </comment>
    <comment ref="L51" authorId="1" shapeId="0" xr:uid="{079ADB91-24A4-449E-82B1-4EDAFB7AB8F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2019: p. 62</t>
        </r>
      </text>
    </comment>
    <comment ref="M51" authorId="1" shapeId="0" xr:uid="{69C4721A-DE60-40CA-8F62-4CAE2175FBC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2020: p. 69</t>
        </r>
      </text>
    </comment>
    <comment ref="N51" authorId="1" shapeId="0" xr:uid="{24C03341-AB77-4555-8F3C-7374A8E5D8B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Gov of Samoa Public Accounts 2021: p.63</t>
        </r>
      </text>
    </comment>
  </commentList>
</comments>
</file>

<file path=xl/sharedStrings.xml><?xml version="1.0" encoding="utf-8"?>
<sst xmlns="http://schemas.openxmlformats.org/spreadsheetml/2006/main" count="242" uniqueCount="70">
  <si>
    <t>Office of the Attorney General</t>
  </si>
  <si>
    <t>2020-2021</t>
  </si>
  <si>
    <t>2019-2020</t>
  </si>
  <si>
    <t>2018-2019</t>
  </si>
  <si>
    <t>2017-2018</t>
  </si>
  <si>
    <t>2014-2015</t>
  </si>
  <si>
    <t>2015-2016</t>
  </si>
  <si>
    <t>2016-2017</t>
  </si>
  <si>
    <t>2013-2014</t>
  </si>
  <si>
    <t>2012-2013</t>
  </si>
  <si>
    <t>2011-2012</t>
  </si>
  <si>
    <t>2010-2011</t>
  </si>
  <si>
    <t>Controller &amp; Auditor General</t>
  </si>
  <si>
    <t>Public Service Commission</t>
  </si>
  <si>
    <t xml:space="preserve">Control of corruption </t>
  </si>
  <si>
    <t>Corruption perception Index</t>
  </si>
  <si>
    <t>https://info.worldbank.org/governance/wgi/Home/Reports</t>
  </si>
  <si>
    <t>N/A</t>
  </si>
  <si>
    <t>Deflator</t>
  </si>
  <si>
    <t>CPI Deflator value</t>
  </si>
  <si>
    <t>Ministry of Police</t>
  </si>
  <si>
    <t>2021-2022</t>
  </si>
  <si>
    <t>2009-2010</t>
  </si>
  <si>
    <t>2008-2009</t>
  </si>
  <si>
    <t>Tuila'epa Lupesoliai Neioti Aiono Sa'ilele Malielegaoi</t>
  </si>
  <si>
    <t>Gov (Prime Ministers)</t>
  </si>
  <si>
    <t>Total Anti-corruption Appropriation</t>
  </si>
  <si>
    <t>2022-2023</t>
  </si>
  <si>
    <t>https://www.imf.org/en/Publications/WEO/weo-database/2022/April/weo-report?c=516,819,826,862,&amp;s=PCPI,PCPIPCH,PCPIE,PCPIEPCH,&amp;sy=2010&amp;ey=2027&amp;ssm=0&amp;scsm=1&amp;scc=0&amp;ssd=1&amp;ssc=0&amp;sic=0&amp;sort=country&amp;ds=.&amp;br=1</t>
  </si>
  <si>
    <t>In millions of Samoan Tala</t>
  </si>
  <si>
    <t>Transnational Crime Unit</t>
  </si>
  <si>
    <t>Unforeseen Expenditure</t>
  </si>
  <si>
    <t>Total Payment</t>
  </si>
  <si>
    <t>Cash Outflows/ Payments actuals</t>
  </si>
  <si>
    <t xml:space="preserve">Total Budget </t>
  </si>
  <si>
    <t xml:space="preserve">Statutory Expenditure </t>
  </si>
  <si>
    <t>23/11/1998</t>
  </si>
  <si>
    <t>Fiame Naomi Mata'afa</t>
  </si>
  <si>
    <t>Total Current Payments</t>
  </si>
  <si>
    <t>Budget</t>
  </si>
  <si>
    <t>First Budget of New Gov</t>
  </si>
  <si>
    <t>Payments/ Actuals</t>
  </si>
  <si>
    <t>Ombudsman's Office</t>
  </si>
  <si>
    <t>Note: This includes Statutory Payments, Expenditure Programs &amp; Unforeseen Payments.</t>
  </si>
  <si>
    <t>Together for Police, Prisons &amp; Fire Services</t>
  </si>
  <si>
    <t>Statutory Budget</t>
  </si>
  <si>
    <t>Gov Appropriated Expenditure</t>
  </si>
  <si>
    <t>Payment actuals</t>
  </si>
  <si>
    <t>Anti-corruption Authority</t>
  </si>
  <si>
    <t>For the establishment of an Anti-corruption Authority. (budget address)</t>
  </si>
  <si>
    <t xml:space="preserve">Ministry of Police </t>
  </si>
  <si>
    <t>Only Current Budget. Development budget (Grant and Loan financed project) were excluded.</t>
  </si>
  <si>
    <t>Total Current Budget</t>
  </si>
  <si>
    <t>Total Current Payments/ Actuals</t>
  </si>
  <si>
    <t>Total Anti-corruption Appropriation: Ombudsman's Office, Controller &amp; Auditor General, Office of the Attorney General (Current) (Real 2022 price)</t>
  </si>
  <si>
    <t>Ministry of Police (Current) (Real 2021 price)</t>
  </si>
  <si>
    <t>Deflator value for 2022 price calculation</t>
  </si>
  <si>
    <t>Transnational Crime Unit (Current) (Real 2022 price)</t>
  </si>
  <si>
    <t>Total Current Budget (Real 2022 price)</t>
  </si>
  <si>
    <t>Office of the Attorney General (Current) (Real 2022 price)</t>
  </si>
  <si>
    <t>Public Service Commission (Current) (Real 2022 price)</t>
  </si>
  <si>
    <t>Controller &amp; Auditor General (Current) (Real 2022 price)</t>
  </si>
  <si>
    <t>Ombudsman's Office (Current) (Real 2022 price)</t>
  </si>
  <si>
    <t>Ministry of Police &amp; Prisons</t>
  </si>
  <si>
    <t xml:space="preserve">Ministry of Police, Prisons &amp; Corrections </t>
  </si>
  <si>
    <t>Note: We took out Correctional Services (Prisons) budget from 2008 to 2014 and 2022&amp; 2023.</t>
  </si>
  <si>
    <t>Note: We have taken out the Development expenditure (Loan financed and Grant financed project payments)</t>
  </si>
  <si>
    <t>Comment</t>
  </si>
  <si>
    <t>Accessed 5 June 2023</t>
  </si>
  <si>
    <t>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</si>
</sst>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0.0000"/>
    <numFmt numFmtId="166" formatCode="#,##0.000"/>
    <numFmt numFmtId="167" formatCode="0.000"/>
    <numFmt numFmtId="168" formatCode="0.0"/>
    <numFmt numFmtId="169" formatCode="#,##0.000000"/>
    <numFmt numFmtId="170" formatCode="0.000000"/>
    <numFmt numFmtId="171" formatCode="#,##0.00000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94">
    <xf numFmtId="0" fontId="0" fillId="0" borderId="0" xfId="0"/>
    <xf numFmtId="3" fontId="0" fillId="0" borderId="0" xfId="0" applyNumberFormat="1"/>
    <xf numFmtId="0" fontId="0" fillId="0" borderId="1" xfId="0" applyBorder="1"/>
    <xf numFmtId="0" fontId="2" fillId="0" borderId="0" xfId="0" applyFont="1"/>
    <xf numFmtId="0" fontId="0" fillId="3" borderId="1" xfId="0" applyFill="1" applyBorder="1"/>
    <xf numFmtId="3" fontId="0" fillId="3" borderId="1" xfId="0" applyNumberFormat="1" applyFill="1" applyBorder="1"/>
    <xf numFmtId="0" fontId="2" fillId="3" borderId="1" xfId="0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0" fillId="5" borderId="1" xfId="0" applyFill="1" applyBorder="1"/>
    <xf numFmtId="0" fontId="2" fillId="5" borderId="1" xfId="0" applyFont="1" applyFill="1" applyBorder="1"/>
    <xf numFmtId="0" fontId="0" fillId="6" borderId="1" xfId="0" applyFill="1" applyBorder="1"/>
    <xf numFmtId="3" fontId="0" fillId="6" borderId="1" xfId="0" applyNumberFormat="1" applyFill="1" applyBorder="1"/>
    <xf numFmtId="0" fontId="0" fillId="7" borderId="1" xfId="0" applyFill="1" applyBorder="1"/>
    <xf numFmtId="3" fontId="0" fillId="7" borderId="1" xfId="0" applyNumberFormat="1" applyFill="1" applyBorder="1"/>
    <xf numFmtId="0" fontId="2" fillId="7" borderId="1" xfId="0" applyFont="1" applyFill="1" applyBorder="1"/>
    <xf numFmtId="164" fontId="2" fillId="6" borderId="1" xfId="0" applyNumberFormat="1" applyFont="1" applyFill="1" applyBorder="1"/>
    <xf numFmtId="164" fontId="2" fillId="5" borderId="1" xfId="0" applyNumberFormat="1" applyFont="1" applyFill="1" applyBorder="1"/>
    <xf numFmtId="164" fontId="0" fillId="4" borderId="1" xfId="0" applyNumberFormat="1" applyFill="1" applyBorder="1"/>
    <xf numFmtId="164" fontId="0" fillId="6" borderId="1" xfId="0" applyNumberFormat="1" applyFill="1" applyBorder="1"/>
    <xf numFmtId="0" fontId="0" fillId="0" borderId="0" xfId="0" applyAlignment="1">
      <alignment wrapText="1"/>
    </xf>
    <xf numFmtId="0" fontId="5" fillId="0" borderId="0" xfId="1"/>
    <xf numFmtId="0" fontId="0" fillId="2" borderId="1" xfId="0" applyFill="1" applyBorder="1"/>
    <xf numFmtId="0" fontId="2" fillId="2" borderId="1" xfId="0" applyFont="1" applyFill="1" applyBorder="1"/>
    <xf numFmtId="165" fontId="2" fillId="2" borderId="1" xfId="0" applyNumberFormat="1" applyFont="1" applyFill="1" applyBorder="1"/>
    <xf numFmtId="3" fontId="1" fillId="0" borderId="0" xfId="0" applyNumberFormat="1" applyFont="1"/>
    <xf numFmtId="0" fontId="1" fillId="0" borderId="0" xfId="0" applyFont="1"/>
    <xf numFmtId="4" fontId="2" fillId="3" borderId="1" xfId="0" applyNumberFormat="1" applyFont="1" applyFill="1" applyBorder="1"/>
    <xf numFmtId="4" fontId="0" fillId="4" borderId="1" xfId="0" applyNumberFormat="1" applyFill="1" applyBorder="1"/>
    <xf numFmtId="4" fontId="0" fillId="6" borderId="1" xfId="0" applyNumberFormat="1" applyFill="1" applyBorder="1"/>
    <xf numFmtId="164" fontId="2" fillId="7" borderId="1" xfId="0" applyNumberFormat="1" applyFont="1" applyFill="1" applyBorder="1"/>
    <xf numFmtId="0" fontId="6" fillId="0" borderId="0" xfId="0" applyFont="1"/>
    <xf numFmtId="2" fontId="0" fillId="6" borderId="1" xfId="0" applyNumberFormat="1" applyFill="1" applyBorder="1"/>
    <xf numFmtId="164" fontId="0" fillId="7" borderId="1" xfId="0" applyNumberFormat="1" applyFill="1" applyBorder="1"/>
    <xf numFmtId="164" fontId="0" fillId="5" borderId="1" xfId="0" applyNumberFormat="1" applyFill="1" applyBorder="1"/>
    <xf numFmtId="2" fontId="2" fillId="5" borderId="1" xfId="0" applyNumberFormat="1" applyFont="1" applyFill="1" applyBorder="1"/>
    <xf numFmtId="168" fontId="0" fillId="6" borderId="1" xfId="0" applyNumberFormat="1" applyFill="1" applyBorder="1"/>
    <xf numFmtId="2" fontId="0" fillId="5" borderId="1" xfId="0" applyNumberFormat="1" applyFill="1" applyBorder="1"/>
    <xf numFmtId="168" fontId="0" fillId="7" borderId="1" xfId="0" applyNumberFormat="1" applyFill="1" applyBorder="1"/>
    <xf numFmtId="0" fontId="0" fillId="8" borderId="1" xfId="0" applyFill="1" applyBorder="1"/>
    <xf numFmtId="168" fontId="0" fillId="4" borderId="1" xfId="0" applyNumberFormat="1" applyFill="1" applyBorder="1"/>
    <xf numFmtId="168" fontId="0" fillId="8" borderId="1" xfId="0" applyNumberFormat="1" applyFill="1" applyBorder="1"/>
    <xf numFmtId="0" fontId="0" fillId="9" borderId="1" xfId="0" applyFill="1" applyBorder="1"/>
    <xf numFmtId="168" fontId="0" fillId="9" borderId="1" xfId="0" applyNumberFormat="1" applyFill="1" applyBorder="1"/>
    <xf numFmtId="0" fontId="9" fillId="0" borderId="0" xfId="0" applyFont="1" applyAlignment="1">
      <alignment wrapText="1"/>
    </xf>
    <xf numFmtId="166" fontId="2" fillId="7" borderId="1" xfId="0" applyNumberFormat="1" applyFont="1" applyFill="1" applyBorder="1"/>
    <xf numFmtId="164" fontId="2" fillId="3" borderId="1" xfId="0" applyNumberFormat="1" applyFont="1" applyFill="1" applyBorder="1"/>
    <xf numFmtId="164" fontId="2" fillId="8" borderId="1" xfId="0" applyNumberFormat="1" applyFont="1" applyFill="1" applyBorder="1"/>
    <xf numFmtId="4" fontId="2" fillId="8" borderId="1" xfId="0" applyNumberFormat="1" applyFont="1" applyFill="1" applyBorder="1"/>
    <xf numFmtId="15" fontId="0" fillId="0" borderId="0" xfId="0" applyNumberFormat="1"/>
    <xf numFmtId="15" fontId="0" fillId="0" borderId="1" xfId="0" applyNumberFormat="1" applyBorder="1"/>
    <xf numFmtId="17" fontId="0" fillId="0" borderId="1" xfId="0" applyNumberFormat="1" applyBorder="1"/>
    <xf numFmtId="0" fontId="0" fillId="10" borderId="1" xfId="0" applyFill="1" applyBorder="1"/>
    <xf numFmtId="4" fontId="0" fillId="10" borderId="1" xfId="0" applyNumberFormat="1" applyFill="1" applyBorder="1"/>
    <xf numFmtId="3" fontId="0" fillId="4" borderId="0" xfId="0" applyNumberFormat="1" applyFill="1"/>
    <xf numFmtId="164" fontId="2" fillId="5" borderId="0" xfId="0" applyNumberFormat="1" applyFont="1" applyFill="1"/>
    <xf numFmtId="4" fontId="0" fillId="3" borderId="1" xfId="0" applyNumberFormat="1" applyFill="1" applyBorder="1"/>
    <xf numFmtId="164" fontId="2" fillId="3" borderId="3" xfId="0" applyNumberFormat="1" applyFont="1" applyFill="1" applyBorder="1"/>
    <xf numFmtId="2" fontId="0" fillId="4" borderId="1" xfId="0" applyNumberFormat="1" applyFill="1" applyBorder="1"/>
    <xf numFmtId="168" fontId="0" fillId="0" borderId="0" xfId="0" applyNumberFormat="1"/>
    <xf numFmtId="164" fontId="2" fillId="8" borderId="0" xfId="0" applyNumberFormat="1" applyFont="1" applyFill="1"/>
    <xf numFmtId="4" fontId="2" fillId="8" borderId="0" xfId="0" applyNumberFormat="1" applyFont="1" applyFill="1"/>
    <xf numFmtId="164" fontId="0" fillId="8" borderId="1" xfId="0" applyNumberFormat="1" applyFill="1" applyBorder="1"/>
    <xf numFmtId="4" fontId="0" fillId="8" borderId="1" xfId="0" applyNumberFormat="1" applyFill="1" applyBorder="1"/>
    <xf numFmtId="166" fontId="0" fillId="8" borderId="1" xfId="0" applyNumberFormat="1" applyFill="1" applyBorder="1"/>
    <xf numFmtId="164" fontId="2" fillId="0" borderId="0" xfId="0" applyNumberFormat="1" applyFont="1"/>
    <xf numFmtId="2" fontId="2" fillId="4" borderId="0" xfId="0" applyNumberFormat="1" applyFont="1" applyFill="1"/>
    <xf numFmtId="168" fontId="2" fillId="4" borderId="0" xfId="0" applyNumberFormat="1" applyFont="1" applyFill="1"/>
    <xf numFmtId="4" fontId="0" fillId="5" borderId="1" xfId="0" applyNumberFormat="1" applyFill="1" applyBorder="1"/>
    <xf numFmtId="2" fontId="0" fillId="10" borderId="1" xfId="0" applyNumberFormat="1" applyFill="1" applyBorder="1"/>
    <xf numFmtId="4" fontId="2" fillId="7" borderId="1" xfId="0" applyNumberFormat="1" applyFont="1" applyFill="1" applyBorder="1"/>
    <xf numFmtId="169" fontId="0" fillId="0" borderId="0" xfId="0" applyNumberFormat="1"/>
    <xf numFmtId="0" fontId="2" fillId="2" borderId="0" xfId="0" applyFont="1" applyFill="1"/>
    <xf numFmtId="0" fontId="2" fillId="2" borderId="0" xfId="0" applyFont="1" applyFill="1" applyAlignment="1">
      <alignment wrapText="1"/>
    </xf>
    <xf numFmtId="2" fontId="0" fillId="3" borderId="1" xfId="0" applyNumberFormat="1" applyFill="1" applyBorder="1"/>
    <xf numFmtId="167" fontId="0" fillId="4" borderId="1" xfId="0" applyNumberFormat="1" applyFill="1" applyBorder="1"/>
    <xf numFmtId="166" fontId="0" fillId="6" borderId="1" xfId="0" applyNumberFormat="1" applyFill="1" applyBorder="1"/>
    <xf numFmtId="164" fontId="2" fillId="4" borderId="1" xfId="0" applyNumberFormat="1" applyFont="1" applyFill="1" applyBorder="1"/>
    <xf numFmtId="3" fontId="10" fillId="7" borderId="1" xfId="0" applyNumberFormat="1" applyFont="1" applyFill="1" applyBorder="1"/>
    <xf numFmtId="9" fontId="0" fillId="0" borderId="0" xfId="2" applyFont="1"/>
    <xf numFmtId="2" fontId="0" fillId="0" borderId="0" xfId="0" applyNumberFormat="1"/>
    <xf numFmtId="170" fontId="0" fillId="0" borderId="0" xfId="0" applyNumberFormat="1"/>
    <xf numFmtId="164" fontId="11" fillId="7" borderId="1" xfId="0" applyNumberFormat="1" applyFont="1" applyFill="1" applyBorder="1"/>
    <xf numFmtId="171" fontId="0" fillId="0" borderId="0" xfId="0" applyNumberFormat="1"/>
    <xf numFmtId="0" fontId="2" fillId="4" borderId="0" xfId="0" applyFont="1" applyFill="1"/>
    <xf numFmtId="17" fontId="0" fillId="0" borderId="0" xfId="0" applyNumberFormat="1" applyAlignment="1">
      <alignment horizontal="left"/>
    </xf>
    <xf numFmtId="0" fontId="0" fillId="11" borderId="1" xfId="0" applyFill="1" applyBorder="1"/>
    <xf numFmtId="2" fontId="0" fillId="11" borderId="1" xfId="0" applyNumberFormat="1" applyFill="1" applyBorder="1"/>
    <xf numFmtId="0" fontId="11" fillId="12" borderId="1" xfId="0" applyFont="1" applyFill="1" applyBorder="1"/>
    <xf numFmtId="0" fontId="0" fillId="12" borderId="1" xfId="0" applyFill="1" applyBorder="1"/>
    <xf numFmtId="3" fontId="0" fillId="12" borderId="1" xfId="0" applyNumberFormat="1" applyFill="1" applyBorder="1"/>
    <xf numFmtId="164" fontId="0" fillId="12" borderId="1" xfId="0" applyNumberFormat="1" applyFill="1" applyBorder="1"/>
    <xf numFmtId="0" fontId="2" fillId="8" borderId="0" xfId="0" applyFont="1" applyFill="1"/>
    <xf numFmtId="0" fontId="5" fillId="0" borderId="2" xfId="1" applyBorder="1" applyAlignment="1">
      <alignment horizontal="left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99FF"/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200" b="0" i="0" baseline="0">
                <a:effectLst/>
              </a:rPr>
              <a:t>Ombudsman's Office </a:t>
            </a:r>
            <a:r>
              <a:rPr lang="en-AU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(Current)</a:t>
            </a:r>
            <a:endParaRPr lang="en-AU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Current!$A$71</c:f>
              <c:strCache>
                <c:ptCount val="1"/>
                <c:pt idx="0">
                  <c:v>First Budget of New Gov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dLbl>
              <c:idx val="13"/>
              <c:layout>
                <c:manualLayout>
                  <c:x val="0"/>
                  <c:y val="0.35275584718939423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Fiame Naomi Mata'afa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24B-479C-AF14-F0FE0AD8DD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Current!$B$68:$P$68</c:f>
              <c:strCache>
                <c:ptCount val="15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  <c:pt idx="10">
                  <c:v>2018-2019</c:v>
                </c:pt>
                <c:pt idx="11">
                  <c:v>2019-2020</c:v>
                </c:pt>
                <c:pt idx="12">
                  <c:v>2020-2021</c:v>
                </c:pt>
                <c:pt idx="13">
                  <c:v>2021-2022</c:v>
                </c:pt>
                <c:pt idx="14">
                  <c:v>2022-2023</c:v>
                </c:pt>
              </c:strCache>
            </c:strRef>
          </c:cat>
          <c:val>
            <c:numRef>
              <c:f>Current!$B$71:$P$71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4B-479C-AF14-F0FE0AD8D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2"/>
        <c:axId val="1700643152"/>
        <c:axId val="1700646480"/>
      </c:barChart>
      <c:lineChart>
        <c:grouping val="standard"/>
        <c:varyColors val="0"/>
        <c:ser>
          <c:idx val="0"/>
          <c:order val="0"/>
          <c:tx>
            <c:strRef>
              <c:f>Current!$A$69</c:f>
              <c:strCache>
                <c:ptCount val="1"/>
                <c:pt idx="0">
                  <c:v>Budget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Current!$B$68:$P$68</c:f>
              <c:strCache>
                <c:ptCount val="15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  <c:pt idx="10">
                  <c:v>2018-2019</c:v>
                </c:pt>
                <c:pt idx="11">
                  <c:v>2019-2020</c:v>
                </c:pt>
                <c:pt idx="12">
                  <c:v>2020-2021</c:v>
                </c:pt>
                <c:pt idx="13">
                  <c:v>2021-2022</c:v>
                </c:pt>
                <c:pt idx="14">
                  <c:v>2022-2023</c:v>
                </c:pt>
              </c:strCache>
            </c:strRef>
          </c:cat>
          <c:val>
            <c:numRef>
              <c:f>Current!$B$69:$P$69</c:f>
              <c:numCache>
                <c:formatCode>0.00</c:formatCode>
                <c:ptCount val="15"/>
                <c:pt idx="0">
                  <c:v>0.77280603663644309</c:v>
                </c:pt>
                <c:pt idx="1">
                  <c:v>0.62898188905282393</c:v>
                </c:pt>
                <c:pt idx="2">
                  <c:v>0.77430298649341767</c:v>
                </c:pt>
                <c:pt idx="3">
                  <c:v>0.85109519673092715</c:v>
                </c:pt>
                <c:pt idx="4">
                  <c:v>0.88186179078481008</c:v>
                </c:pt>
                <c:pt idx="5">
                  <c:v>0.79173789734317335</c:v>
                </c:pt>
                <c:pt idx="6">
                  <c:v>1.0716159774327934</c:v>
                </c:pt>
                <c:pt idx="7">
                  <c:v>1.2334285265174079</c:v>
                </c:pt>
                <c:pt idx="8">
                  <c:v>1.4278711909133344</c:v>
                </c:pt>
                <c:pt idx="9">
                  <c:v>1.4117849432854161</c:v>
                </c:pt>
                <c:pt idx="10">
                  <c:v>1.3522837230981077</c:v>
                </c:pt>
                <c:pt idx="11">
                  <c:v>1.4276797492687001</c:v>
                </c:pt>
                <c:pt idx="12">
                  <c:v>1.804252677215775</c:v>
                </c:pt>
                <c:pt idx="13">
                  <c:v>1.7563606032268684</c:v>
                </c:pt>
                <c:pt idx="14">
                  <c:v>1.7918240000000001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4B-479C-AF14-F0FE0AD8DD7B}"/>
            </c:ext>
          </c:extLst>
        </c:ser>
        <c:ser>
          <c:idx val="1"/>
          <c:order val="1"/>
          <c:tx>
            <c:strRef>
              <c:f>Current!$A$70</c:f>
              <c:strCache>
                <c:ptCount val="1"/>
                <c:pt idx="0">
                  <c:v>Payments/ Actuals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Current!$B$68:$P$68</c:f>
              <c:strCache>
                <c:ptCount val="15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  <c:pt idx="10">
                  <c:v>2018-2019</c:v>
                </c:pt>
                <c:pt idx="11">
                  <c:v>2019-2020</c:v>
                </c:pt>
                <c:pt idx="12">
                  <c:v>2020-2021</c:v>
                </c:pt>
                <c:pt idx="13">
                  <c:v>2021-2022</c:v>
                </c:pt>
                <c:pt idx="14">
                  <c:v>2022-2023</c:v>
                </c:pt>
              </c:strCache>
            </c:strRef>
          </c:cat>
          <c:val>
            <c:numRef>
              <c:f>Current!$B$70:$P$70</c:f>
              <c:numCache>
                <c:formatCode>0.00</c:formatCode>
                <c:ptCount val="15"/>
                <c:pt idx="0">
                  <c:v>0.81726403102130984</c:v>
                </c:pt>
                <c:pt idx="1">
                  <c:v>0.60499817787279309</c:v>
                </c:pt>
                <c:pt idx="2">
                  <c:v>0.77734233270644537</c:v>
                </c:pt>
                <c:pt idx="3">
                  <c:v>0.81337346842372804</c:v>
                </c:pt>
                <c:pt idx="4">
                  <c:v>0.86277332533026463</c:v>
                </c:pt>
                <c:pt idx="5">
                  <c:v>0.97560619498154966</c:v>
                </c:pt>
                <c:pt idx="6">
                  <c:v>1.0180362292589062</c:v>
                </c:pt>
                <c:pt idx="7">
                  <c:v>1.2063131711465673</c:v>
                </c:pt>
                <c:pt idx="8">
                  <c:v>1.3502811090711064</c:v>
                </c:pt>
                <c:pt idx="9">
                  <c:v>1.266501220813719</c:v>
                </c:pt>
                <c:pt idx="10">
                  <c:v>1.3930790862899922</c:v>
                </c:pt>
                <c:pt idx="11">
                  <c:v>1.4177786228881855</c:v>
                </c:pt>
                <c:pt idx="12">
                  <c:v>1.844385481894806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4B-479C-AF14-F0FE0AD8D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4114544"/>
        <c:axId val="1894096656"/>
      </c:lineChart>
      <c:catAx>
        <c:axId val="189411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4096656"/>
        <c:crosses val="autoZero"/>
        <c:auto val="1"/>
        <c:lblAlgn val="ctr"/>
        <c:lblOffset val="100"/>
        <c:noMultiLvlLbl val="0"/>
      </c:catAx>
      <c:valAx>
        <c:axId val="189409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900" b="0" i="0" baseline="0">
                    <a:effectLst/>
                  </a:rPr>
                  <a:t>Millions of Tala</a:t>
                </a:r>
                <a:endParaRPr lang="en-A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1.5267175572519083E-2"/>
              <c:y val="0.367529068959998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4114544"/>
        <c:crosses val="autoZero"/>
        <c:crossBetween val="between"/>
      </c:valAx>
      <c:valAx>
        <c:axId val="1700646480"/>
        <c:scaling>
          <c:orientation val="minMax"/>
          <c:max val="1.02"/>
          <c:min val="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0643152"/>
        <c:crosses val="max"/>
        <c:crossBetween val="between"/>
      </c:valAx>
      <c:catAx>
        <c:axId val="1700643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00646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200" b="0" i="0" baseline="0">
                <a:effectLst/>
              </a:rPr>
              <a:t>Controller &amp; Auditor General </a:t>
            </a:r>
            <a:r>
              <a:rPr lang="en-AU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(Current)</a:t>
            </a:r>
            <a:endParaRPr lang="en-AU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Current!$A$79</c:f>
              <c:strCache>
                <c:ptCount val="1"/>
                <c:pt idx="0">
                  <c:v>First Budget of New Gov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366-4084-9178-68F3BC4F84D2}"/>
              </c:ext>
            </c:extLst>
          </c:dPt>
          <c:dLbls>
            <c:dLbl>
              <c:idx val="13"/>
              <c:layout>
                <c:manualLayout>
                  <c:x val="7.5117363487006246E-3"/>
                  <c:y val="0.34945392092343885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Fiame Naomi Mata'afa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366-4084-9178-68F3BC4F84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Current!$B$76:$P$76</c:f>
              <c:strCache>
                <c:ptCount val="15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  <c:pt idx="10">
                  <c:v>2018-2019</c:v>
                </c:pt>
                <c:pt idx="11">
                  <c:v>2019-2020</c:v>
                </c:pt>
                <c:pt idx="12">
                  <c:v>2020-2021</c:v>
                </c:pt>
                <c:pt idx="13">
                  <c:v>2021-2022</c:v>
                </c:pt>
                <c:pt idx="14">
                  <c:v>2022-2023</c:v>
                </c:pt>
              </c:strCache>
            </c:strRef>
          </c:cat>
          <c:val>
            <c:numRef>
              <c:f>Current!$B$79:$P$79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66-4084-9178-68F3BC4F8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5"/>
        <c:axId val="1702201808"/>
        <c:axId val="1702186000"/>
      </c:barChart>
      <c:lineChart>
        <c:grouping val="standard"/>
        <c:varyColors val="0"/>
        <c:ser>
          <c:idx val="0"/>
          <c:order val="0"/>
          <c:tx>
            <c:strRef>
              <c:f>Current!$A$77</c:f>
              <c:strCache>
                <c:ptCount val="1"/>
                <c:pt idx="0">
                  <c:v>Budget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Current!$B$76:$P$76</c:f>
              <c:strCache>
                <c:ptCount val="15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  <c:pt idx="10">
                  <c:v>2018-2019</c:v>
                </c:pt>
                <c:pt idx="11">
                  <c:v>2019-2020</c:v>
                </c:pt>
                <c:pt idx="12">
                  <c:v>2020-2021</c:v>
                </c:pt>
                <c:pt idx="13">
                  <c:v>2021-2022</c:v>
                </c:pt>
                <c:pt idx="14">
                  <c:v>2022-2023</c:v>
                </c:pt>
              </c:strCache>
            </c:strRef>
          </c:cat>
          <c:val>
            <c:numRef>
              <c:f>Current!$B$77:$P$77</c:f>
              <c:numCache>
                <c:formatCode>0.0</c:formatCode>
                <c:ptCount val="15"/>
                <c:pt idx="0">
                  <c:v>3.9109459220324938</c:v>
                </c:pt>
                <c:pt idx="1">
                  <c:v>3.2452586777473331</c:v>
                </c:pt>
                <c:pt idx="2">
                  <c:v>3.4831812617541456</c:v>
                </c:pt>
                <c:pt idx="3">
                  <c:v>3.811595354084385</c:v>
                </c:pt>
                <c:pt idx="4">
                  <c:v>3.8447287553325658</c:v>
                </c:pt>
                <c:pt idx="5">
                  <c:v>3.7655350162361616</c:v>
                </c:pt>
                <c:pt idx="6">
                  <c:v>4.055036055297129</c:v>
                </c:pt>
                <c:pt idx="7">
                  <c:v>4.1563236369768228</c:v>
                </c:pt>
                <c:pt idx="8">
                  <c:v>4.0175528489186245</c:v>
                </c:pt>
                <c:pt idx="9">
                  <c:v>4.1291155502227195</c:v>
                </c:pt>
                <c:pt idx="10">
                  <c:v>4.2511443694581708</c:v>
                </c:pt>
                <c:pt idx="11">
                  <c:v>4.3165585417331158</c:v>
                </c:pt>
                <c:pt idx="12">
                  <c:v>4.3240531697241149</c:v>
                </c:pt>
                <c:pt idx="13">
                  <c:v>4.6019802782524302</c:v>
                </c:pt>
                <c:pt idx="14">
                  <c:v>4.1484040000000002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66-4084-9178-68F3BC4F84D2}"/>
            </c:ext>
          </c:extLst>
        </c:ser>
        <c:ser>
          <c:idx val="1"/>
          <c:order val="1"/>
          <c:tx>
            <c:strRef>
              <c:f>Current!$A$78</c:f>
              <c:strCache>
                <c:ptCount val="1"/>
                <c:pt idx="0">
                  <c:v>Payments/ Actuals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Current!$B$76:$P$76</c:f>
              <c:strCache>
                <c:ptCount val="15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  <c:pt idx="10">
                  <c:v>2018-2019</c:v>
                </c:pt>
                <c:pt idx="11">
                  <c:v>2019-2020</c:v>
                </c:pt>
                <c:pt idx="12">
                  <c:v>2020-2021</c:v>
                </c:pt>
                <c:pt idx="13">
                  <c:v>2021-2022</c:v>
                </c:pt>
                <c:pt idx="14">
                  <c:v>2022-2023</c:v>
                </c:pt>
              </c:strCache>
            </c:strRef>
          </c:cat>
          <c:val>
            <c:numRef>
              <c:f>Current!$B$78:$P$78</c:f>
              <c:numCache>
                <c:formatCode>0.0</c:formatCode>
                <c:ptCount val="15"/>
                <c:pt idx="0">
                  <c:v>3.806456548349979</c:v>
                </c:pt>
                <c:pt idx="1">
                  <c:v>3.0890101747011536</c:v>
                </c:pt>
                <c:pt idx="2">
                  <c:v>3.4063818348435628</c:v>
                </c:pt>
                <c:pt idx="3">
                  <c:v>3.0609985733390683</c:v>
                </c:pt>
                <c:pt idx="4">
                  <c:v>3.6160652777169155</c:v>
                </c:pt>
                <c:pt idx="5">
                  <c:v>3.7723099791881913</c:v>
                </c:pt>
                <c:pt idx="6">
                  <c:v>3.8725111765958635</c:v>
                </c:pt>
                <c:pt idx="7">
                  <c:v>3.7366936683376557</c:v>
                </c:pt>
                <c:pt idx="8">
                  <c:v>3.8268149494320829</c:v>
                </c:pt>
                <c:pt idx="9">
                  <c:v>4.0324298782944963</c:v>
                </c:pt>
                <c:pt idx="10">
                  <c:v>4.0162703924142198</c:v>
                </c:pt>
                <c:pt idx="11">
                  <c:v>4.1709185046862869</c:v>
                </c:pt>
                <c:pt idx="12">
                  <c:v>3.7627484597349556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66-4084-9178-68F3BC4F8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261296"/>
        <c:axId val="1764254640"/>
      </c:lineChart>
      <c:catAx>
        <c:axId val="176426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254640"/>
        <c:crosses val="autoZero"/>
        <c:auto val="1"/>
        <c:lblAlgn val="ctr"/>
        <c:lblOffset val="100"/>
        <c:noMultiLvlLbl val="0"/>
      </c:catAx>
      <c:valAx>
        <c:axId val="176425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900" b="0" i="0" baseline="0">
                    <a:effectLst/>
                  </a:rPr>
                  <a:t>Millions of Tala</a:t>
                </a:r>
                <a:endParaRPr lang="en-A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1.5023472697401431E-2"/>
              <c:y val="0.35628838530865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261296"/>
        <c:crosses val="autoZero"/>
        <c:crossBetween val="between"/>
      </c:valAx>
      <c:valAx>
        <c:axId val="1702186000"/>
        <c:scaling>
          <c:orientation val="minMax"/>
          <c:max val="1.02"/>
          <c:min val="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2201808"/>
        <c:crosses val="max"/>
        <c:crossBetween val="between"/>
      </c:valAx>
      <c:catAx>
        <c:axId val="1702201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02186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200" b="0" i="0" baseline="0">
                <a:effectLst/>
              </a:rPr>
              <a:t>Public Service Commission </a:t>
            </a:r>
            <a:r>
              <a:rPr lang="en-AU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(Current)</a:t>
            </a:r>
            <a:endParaRPr lang="en-AU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Current!$A$87</c:f>
              <c:strCache>
                <c:ptCount val="1"/>
                <c:pt idx="0">
                  <c:v>First Budget of New Gov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54F-493B-B61C-5EF0B1D7F8D3}"/>
              </c:ext>
            </c:extLst>
          </c:dPt>
          <c:dLbls>
            <c:dLbl>
              <c:idx val="13"/>
              <c:layout>
                <c:manualLayout>
                  <c:x val="1.5277777777777781E-2"/>
                  <c:y val="0.4236112933799941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Fiame Naomi Mata'afa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481955380577429"/>
                      <c:h val="0.14331036745406825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D54F-493B-B61C-5EF0B1D7F8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Current!$B$84:$P$84</c:f>
              <c:strCache>
                <c:ptCount val="15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  <c:pt idx="10">
                  <c:v>2018-2019</c:v>
                </c:pt>
                <c:pt idx="11">
                  <c:v>2019-2020</c:v>
                </c:pt>
                <c:pt idx="12">
                  <c:v>2020-2021</c:v>
                </c:pt>
                <c:pt idx="13">
                  <c:v>2021-2022</c:v>
                </c:pt>
                <c:pt idx="14">
                  <c:v>2022-2023</c:v>
                </c:pt>
              </c:strCache>
            </c:strRef>
          </c:cat>
          <c:val>
            <c:numRef>
              <c:f>Current!$B$87:$P$87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4F-493B-B61C-5EF0B1D7F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8"/>
        <c:axId val="1765764176"/>
        <c:axId val="1765756688"/>
      </c:barChart>
      <c:lineChart>
        <c:grouping val="standard"/>
        <c:varyColors val="0"/>
        <c:ser>
          <c:idx val="0"/>
          <c:order val="0"/>
          <c:tx>
            <c:strRef>
              <c:f>Current!$A$85</c:f>
              <c:strCache>
                <c:ptCount val="1"/>
                <c:pt idx="0">
                  <c:v>Budget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Current!$B$84:$P$84</c:f>
              <c:strCache>
                <c:ptCount val="15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  <c:pt idx="10">
                  <c:v>2018-2019</c:v>
                </c:pt>
                <c:pt idx="11">
                  <c:v>2019-2020</c:v>
                </c:pt>
                <c:pt idx="12">
                  <c:v>2020-2021</c:v>
                </c:pt>
                <c:pt idx="13">
                  <c:v>2021-2022</c:v>
                </c:pt>
                <c:pt idx="14">
                  <c:v>2022-2023</c:v>
                </c:pt>
              </c:strCache>
            </c:strRef>
          </c:cat>
          <c:val>
            <c:numRef>
              <c:f>Current!$B$85:$P$85</c:f>
              <c:numCache>
                <c:formatCode>0.0</c:formatCode>
                <c:ptCount val="15"/>
                <c:pt idx="0">
                  <c:v>4.325233338426842</c:v>
                </c:pt>
                <c:pt idx="1">
                  <c:v>3.2896496808085671</c:v>
                </c:pt>
                <c:pt idx="2">
                  <c:v>3.7678126407932977</c:v>
                </c:pt>
                <c:pt idx="3">
                  <c:v>3.9737695839361824</c:v>
                </c:pt>
                <c:pt idx="4">
                  <c:v>4.1385173826283079</c:v>
                </c:pt>
                <c:pt idx="5">
                  <c:v>4.3806949649446487</c:v>
                </c:pt>
                <c:pt idx="6">
                  <c:v>5.1391016336565221</c:v>
                </c:pt>
                <c:pt idx="7">
                  <c:v>5.428342263515308</c:v>
                </c:pt>
                <c:pt idx="8">
                  <c:v>5.3012987583631555</c:v>
                </c:pt>
                <c:pt idx="9">
                  <c:v>5.5764340419780076</c:v>
                </c:pt>
                <c:pt idx="10">
                  <c:v>5.2713813729355676</c:v>
                </c:pt>
                <c:pt idx="11">
                  <c:v>5.3197870544871515</c:v>
                </c:pt>
                <c:pt idx="12">
                  <c:v>5.4142273937091909</c:v>
                </c:pt>
                <c:pt idx="13">
                  <c:v>9.232832092265566</c:v>
                </c:pt>
                <c:pt idx="14">
                  <c:v>8.7884309999999992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4F-493B-B61C-5EF0B1D7F8D3}"/>
            </c:ext>
          </c:extLst>
        </c:ser>
        <c:ser>
          <c:idx val="1"/>
          <c:order val="1"/>
          <c:tx>
            <c:strRef>
              <c:f>Current!$A$86</c:f>
              <c:strCache>
                <c:ptCount val="1"/>
                <c:pt idx="0">
                  <c:v>Payments/ Actuals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Current!$B$84:$P$84</c:f>
              <c:strCache>
                <c:ptCount val="15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  <c:pt idx="10">
                  <c:v>2018-2019</c:v>
                </c:pt>
                <c:pt idx="11">
                  <c:v>2019-2020</c:v>
                </c:pt>
                <c:pt idx="12">
                  <c:v>2020-2021</c:v>
                </c:pt>
                <c:pt idx="13">
                  <c:v>2021-2022</c:v>
                </c:pt>
                <c:pt idx="14">
                  <c:v>2022-2023</c:v>
                </c:pt>
              </c:strCache>
            </c:strRef>
          </c:cat>
          <c:val>
            <c:numRef>
              <c:f>Current!$B$86:$P$86</c:f>
              <c:numCache>
                <c:formatCode>0.0</c:formatCode>
                <c:ptCount val="15"/>
                <c:pt idx="0">
                  <c:v>3.9603553583099367</c:v>
                </c:pt>
                <c:pt idx="1">
                  <c:v>3.1373815279676411</c:v>
                </c:pt>
                <c:pt idx="2">
                  <c:v>3.8058886852453409</c:v>
                </c:pt>
                <c:pt idx="3">
                  <c:v>3.9383644557932191</c:v>
                </c:pt>
                <c:pt idx="4">
                  <c:v>4.109517642826237</c:v>
                </c:pt>
                <c:pt idx="5">
                  <c:v>4.4636824961623613</c:v>
                </c:pt>
                <c:pt idx="6">
                  <c:v>4.8593661988828485</c:v>
                </c:pt>
                <c:pt idx="7">
                  <c:v>5.1955016199492281</c:v>
                </c:pt>
                <c:pt idx="8">
                  <c:v>5.2518686553601999</c:v>
                </c:pt>
                <c:pt idx="9">
                  <c:v>5.4422611878529414</c:v>
                </c:pt>
                <c:pt idx="10">
                  <c:v>5.2837979687121432</c:v>
                </c:pt>
                <c:pt idx="11">
                  <c:v>5.3350421864451576</c:v>
                </c:pt>
                <c:pt idx="12">
                  <c:v>5.2779989403608436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4F-493B-B61C-5EF0B1D7F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811920"/>
        <c:axId val="1897821488"/>
      </c:lineChart>
      <c:catAx>
        <c:axId val="189781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821488"/>
        <c:crosses val="autoZero"/>
        <c:auto val="1"/>
        <c:lblAlgn val="ctr"/>
        <c:lblOffset val="100"/>
        <c:noMultiLvlLbl val="0"/>
      </c:catAx>
      <c:valAx>
        <c:axId val="189782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900" b="0" i="0" baseline="0">
                    <a:effectLst/>
                  </a:rPr>
                  <a:t>Millions of Tala</a:t>
                </a:r>
                <a:endParaRPr lang="en-A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1.3888888888888888E-2"/>
              <c:y val="0.36297608632254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811920"/>
        <c:crosses val="autoZero"/>
        <c:crossBetween val="between"/>
      </c:valAx>
      <c:valAx>
        <c:axId val="1765756688"/>
        <c:scaling>
          <c:orientation val="minMax"/>
          <c:max val="1.02"/>
          <c:min val="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764176"/>
        <c:crosses val="max"/>
        <c:crossBetween val="between"/>
      </c:valAx>
      <c:catAx>
        <c:axId val="176576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65756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200" b="0" i="0" baseline="0">
                <a:effectLst/>
              </a:rPr>
              <a:t>Office of the Attorney General </a:t>
            </a:r>
            <a:r>
              <a:rPr lang="en-AU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(Current)</a:t>
            </a:r>
            <a:endParaRPr lang="en-AU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Current!$A$94</c:f>
              <c:strCache>
                <c:ptCount val="1"/>
                <c:pt idx="0">
                  <c:v>First Budget of New Gov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6"/>
              </a:solidFill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9D9-4CF9-8465-6A1388A8014B}"/>
              </c:ext>
            </c:extLst>
          </c:dPt>
          <c:dLbls>
            <c:dLbl>
              <c:idx val="13"/>
              <c:layout>
                <c:manualLayout>
                  <c:x val="-1.0185067526415994E-16"/>
                  <c:y val="0.3479093759113444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Fiame Naomi Mata'afa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9D9-4CF9-8465-6A1388A801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Current!$B$91:$P$91</c:f>
              <c:strCache>
                <c:ptCount val="15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  <c:pt idx="10">
                  <c:v>2018-2019</c:v>
                </c:pt>
                <c:pt idx="11">
                  <c:v>2019-2020</c:v>
                </c:pt>
                <c:pt idx="12">
                  <c:v>2020-2021</c:v>
                </c:pt>
                <c:pt idx="13">
                  <c:v>2021-2022</c:v>
                </c:pt>
                <c:pt idx="14">
                  <c:v>2022-2023</c:v>
                </c:pt>
              </c:strCache>
            </c:strRef>
          </c:cat>
          <c:val>
            <c:numRef>
              <c:f>Current!$B$94:$P$94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D9-4CF9-8465-6A1388A80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9"/>
        <c:axId val="1894108720"/>
        <c:axId val="1894118704"/>
      </c:barChart>
      <c:lineChart>
        <c:grouping val="standard"/>
        <c:varyColors val="0"/>
        <c:ser>
          <c:idx val="0"/>
          <c:order val="0"/>
          <c:tx>
            <c:strRef>
              <c:f>Current!$A$92</c:f>
              <c:strCache>
                <c:ptCount val="1"/>
                <c:pt idx="0">
                  <c:v>Budget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Current!$B$91:$P$91</c:f>
              <c:strCache>
                <c:ptCount val="15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  <c:pt idx="10">
                  <c:v>2018-2019</c:v>
                </c:pt>
                <c:pt idx="11">
                  <c:v>2019-2020</c:v>
                </c:pt>
                <c:pt idx="12">
                  <c:v>2020-2021</c:v>
                </c:pt>
                <c:pt idx="13">
                  <c:v>2021-2022</c:v>
                </c:pt>
                <c:pt idx="14">
                  <c:v>2022-2023</c:v>
                </c:pt>
              </c:strCache>
            </c:strRef>
          </c:cat>
          <c:val>
            <c:numRef>
              <c:f>Current!$B$92:$P$92</c:f>
              <c:numCache>
                <c:formatCode>0.00</c:formatCode>
                <c:ptCount val="15"/>
                <c:pt idx="0">
                  <c:v>4.6986077224651348</c:v>
                </c:pt>
                <c:pt idx="1">
                  <c:v>3.6736161140184476</c:v>
                </c:pt>
                <c:pt idx="2">
                  <c:v>4.0044253663874159</c:v>
                </c:pt>
                <c:pt idx="3">
                  <c:v>3.3845442870996756</c:v>
                </c:pt>
                <c:pt idx="4">
                  <c:v>4.1105508822462591</c:v>
                </c:pt>
                <c:pt idx="5">
                  <c:v>4.2198403263468629</c:v>
                </c:pt>
                <c:pt idx="6">
                  <c:v>4.693512391189822</c:v>
                </c:pt>
                <c:pt idx="7">
                  <c:v>4.9873457659576417</c:v>
                </c:pt>
                <c:pt idx="8">
                  <c:v>3.4607089142679319</c:v>
                </c:pt>
                <c:pt idx="9">
                  <c:v>3.5370911285271549</c:v>
                </c:pt>
                <c:pt idx="10">
                  <c:v>5.326282790632817</c:v>
                </c:pt>
                <c:pt idx="11">
                  <c:v>5.6555033496678222</c:v>
                </c:pt>
                <c:pt idx="12">
                  <c:v>5.6054608224270792</c:v>
                </c:pt>
                <c:pt idx="13">
                  <c:v>5.8129787001715671</c:v>
                </c:pt>
                <c:pt idx="14">
                  <c:v>5.4695020000000003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D9-4CF9-8465-6A1388A8014B}"/>
            </c:ext>
          </c:extLst>
        </c:ser>
        <c:ser>
          <c:idx val="1"/>
          <c:order val="1"/>
          <c:tx>
            <c:strRef>
              <c:f>Current!$A$93</c:f>
              <c:strCache>
                <c:ptCount val="1"/>
                <c:pt idx="0">
                  <c:v>Payments/ Actuals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Current!$B$91:$P$91</c:f>
              <c:strCache>
                <c:ptCount val="15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  <c:pt idx="10">
                  <c:v>2018-2019</c:v>
                </c:pt>
                <c:pt idx="11">
                  <c:v>2019-2020</c:v>
                </c:pt>
                <c:pt idx="12">
                  <c:v>2020-2021</c:v>
                </c:pt>
                <c:pt idx="13">
                  <c:v>2021-2022</c:v>
                </c:pt>
                <c:pt idx="14">
                  <c:v>2022-2023</c:v>
                </c:pt>
              </c:strCache>
            </c:strRef>
          </c:cat>
          <c:val>
            <c:numRef>
              <c:f>Current!$B$93:$P$93</c:f>
              <c:numCache>
                <c:formatCode>0.00</c:formatCode>
                <c:ptCount val="15"/>
                <c:pt idx="0">
                  <c:v>4.0757557368251485</c:v>
                </c:pt>
                <c:pt idx="1">
                  <c:v>4.134145016209489</c:v>
                </c:pt>
                <c:pt idx="2">
                  <c:v>4.1303030699264829</c:v>
                </c:pt>
                <c:pt idx="3">
                  <c:v>3.6738712750166185</c:v>
                </c:pt>
                <c:pt idx="4">
                  <c:v>3.8682734972612192</c:v>
                </c:pt>
                <c:pt idx="5">
                  <c:v>4.1986299419926194</c:v>
                </c:pt>
                <c:pt idx="6">
                  <c:v>4.2155768346877389</c:v>
                </c:pt>
                <c:pt idx="7">
                  <c:v>4.7106919403575969</c:v>
                </c:pt>
                <c:pt idx="8">
                  <c:v>3.2866448520304963</c:v>
                </c:pt>
                <c:pt idx="9">
                  <c:v>3.5298412276444062</c:v>
                </c:pt>
                <c:pt idx="10">
                  <c:v>4.9831712600726856</c:v>
                </c:pt>
                <c:pt idx="11">
                  <c:v>5.0524342583555768</c:v>
                </c:pt>
                <c:pt idx="12">
                  <c:v>4.7869893936587706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D9-4CF9-8465-6A1388A80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766672"/>
        <c:axId val="1765773744"/>
      </c:lineChart>
      <c:catAx>
        <c:axId val="176576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773744"/>
        <c:crosses val="autoZero"/>
        <c:auto val="1"/>
        <c:lblAlgn val="ctr"/>
        <c:lblOffset val="100"/>
        <c:noMultiLvlLbl val="0"/>
      </c:catAx>
      <c:valAx>
        <c:axId val="176577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900" b="0" i="0" baseline="0">
                    <a:effectLst/>
                  </a:rPr>
                  <a:t>Millions of Tala</a:t>
                </a:r>
                <a:endParaRPr lang="en-A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1.2472714708944782E-2"/>
              <c:y val="0.361533480326028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766672"/>
        <c:crosses val="autoZero"/>
        <c:crossBetween val="between"/>
      </c:valAx>
      <c:valAx>
        <c:axId val="1894118704"/>
        <c:scaling>
          <c:orientation val="minMax"/>
          <c:max val="1.02"/>
          <c:min val="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4108720"/>
        <c:crosses val="max"/>
        <c:crossBetween val="between"/>
      </c:valAx>
      <c:catAx>
        <c:axId val="189410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94118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200"/>
              <a:t>Ministry of Police </a:t>
            </a:r>
            <a:r>
              <a:rPr lang="en-AU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(Current)</a:t>
            </a:r>
            <a:endParaRPr lang="en-AU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Current!$A$101</c:f>
              <c:strCache>
                <c:ptCount val="1"/>
                <c:pt idx="0">
                  <c:v>First Budget of New Gov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90-4699-8A06-F5B5A9CB3396}"/>
              </c:ext>
            </c:extLst>
          </c:dPt>
          <c:dLbls>
            <c:dLbl>
              <c:idx val="13"/>
              <c:layout>
                <c:manualLayout>
                  <c:x val="2.5276458780064694E-3"/>
                  <c:y val="0.35076592156499969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Fiame Naomi Mata'afa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CC90-4699-8A06-F5B5A9CB33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Current!$B$98:$P$98</c:f>
              <c:strCache>
                <c:ptCount val="15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  <c:pt idx="10">
                  <c:v>2018-2019</c:v>
                </c:pt>
                <c:pt idx="11">
                  <c:v>2019-2020</c:v>
                </c:pt>
                <c:pt idx="12">
                  <c:v>2020-2021</c:v>
                </c:pt>
                <c:pt idx="13">
                  <c:v>2021-2022</c:v>
                </c:pt>
                <c:pt idx="14">
                  <c:v>2022-2023</c:v>
                </c:pt>
              </c:strCache>
            </c:strRef>
          </c:cat>
          <c:val>
            <c:numRef>
              <c:f>Current!$B$101:$P$101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90-4699-8A06-F5B5A9CB3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9"/>
        <c:axId val="1765793712"/>
        <c:axId val="1765800368"/>
      </c:barChart>
      <c:lineChart>
        <c:grouping val="standard"/>
        <c:varyColors val="0"/>
        <c:ser>
          <c:idx val="0"/>
          <c:order val="0"/>
          <c:tx>
            <c:strRef>
              <c:f>Current!$A$99</c:f>
              <c:strCache>
                <c:ptCount val="1"/>
                <c:pt idx="0">
                  <c:v>Budget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Current!$B$98:$P$98</c:f>
              <c:strCache>
                <c:ptCount val="15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  <c:pt idx="10">
                  <c:v>2018-2019</c:v>
                </c:pt>
                <c:pt idx="11">
                  <c:v>2019-2020</c:v>
                </c:pt>
                <c:pt idx="12">
                  <c:v>2020-2021</c:v>
                </c:pt>
                <c:pt idx="13">
                  <c:v>2021-2022</c:v>
                </c:pt>
                <c:pt idx="14">
                  <c:v>2022-2023</c:v>
                </c:pt>
              </c:strCache>
            </c:strRef>
          </c:cat>
          <c:val>
            <c:numRef>
              <c:f>Current!$B$99:$P$99</c:f>
              <c:numCache>
                <c:formatCode>0.00</c:formatCode>
                <c:ptCount val="15"/>
                <c:pt idx="0">
                  <c:v>25.957005816357526</c:v>
                </c:pt>
                <c:pt idx="1">
                  <c:v>20.200348794957492</c:v>
                </c:pt>
                <c:pt idx="2">
                  <c:v>24.274013806120703</c:v>
                </c:pt>
                <c:pt idx="3">
                  <c:v>27.693453327572048</c:v>
                </c:pt>
                <c:pt idx="4">
                  <c:v>26.867965523443036</c:v>
                </c:pt>
                <c:pt idx="5">
                  <c:v>27.997254222952023</c:v>
                </c:pt>
                <c:pt idx="6">
                  <c:v>29.969404565450503</c:v>
                </c:pt>
                <c:pt idx="7">
                  <c:v>30.838645419503834</c:v>
                </c:pt>
                <c:pt idx="8">
                  <c:v>31.618134515014781</c:v>
                </c:pt>
                <c:pt idx="9">
                  <c:v>34.091974564688236</c:v>
                </c:pt>
                <c:pt idx="10">
                  <c:v>32.431873672218295</c:v>
                </c:pt>
                <c:pt idx="11">
                  <c:v>35.042341700776916</c:v>
                </c:pt>
                <c:pt idx="12">
                  <c:v>36.908941342028086</c:v>
                </c:pt>
                <c:pt idx="13">
                  <c:v>45.12824967159419</c:v>
                </c:pt>
                <c:pt idx="14">
                  <c:v>44.962135000000004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90-4699-8A06-F5B5A9CB3396}"/>
            </c:ext>
          </c:extLst>
        </c:ser>
        <c:ser>
          <c:idx val="1"/>
          <c:order val="1"/>
          <c:tx>
            <c:strRef>
              <c:f>Current!$A$100</c:f>
              <c:strCache>
                <c:ptCount val="1"/>
                <c:pt idx="0">
                  <c:v>Payments/ Actuals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Current!$B$98:$P$98</c:f>
              <c:strCache>
                <c:ptCount val="15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  <c:pt idx="10">
                  <c:v>2018-2019</c:v>
                </c:pt>
                <c:pt idx="11">
                  <c:v>2019-2020</c:v>
                </c:pt>
                <c:pt idx="12">
                  <c:v>2020-2021</c:v>
                </c:pt>
                <c:pt idx="13">
                  <c:v>2021-2022</c:v>
                </c:pt>
                <c:pt idx="14">
                  <c:v>2022-2023</c:v>
                </c:pt>
              </c:strCache>
            </c:strRef>
          </c:cat>
          <c:val>
            <c:numRef>
              <c:f>Current!$B$100:$P$100</c:f>
              <c:numCache>
                <c:formatCode>0.00</c:formatCode>
                <c:ptCount val="15"/>
                <c:pt idx="0">
                  <c:v>24.693001787545445</c:v>
                </c:pt>
                <c:pt idx="1">
                  <c:v>19.561853204058895</c:v>
                </c:pt>
                <c:pt idx="2">
                  <c:v>24.597163681996921</c:v>
                </c:pt>
                <c:pt idx="3">
                  <c:v>27.199002147264689</c:v>
                </c:pt>
                <c:pt idx="4">
                  <c:v>28.440406342628304</c:v>
                </c:pt>
                <c:pt idx="5">
                  <c:v>29.114138457490771</c:v>
                </c:pt>
                <c:pt idx="6">
                  <c:v>30.780406639765356</c:v>
                </c:pt>
                <c:pt idx="7">
                  <c:v>29.642628363316437</c:v>
                </c:pt>
                <c:pt idx="8">
                  <c:v>30.98137146911467</c:v>
                </c:pt>
                <c:pt idx="9">
                  <c:v>31.309881564335857</c:v>
                </c:pt>
                <c:pt idx="10">
                  <c:v>31.735752408990685</c:v>
                </c:pt>
                <c:pt idx="11">
                  <c:v>34.921845131292798</c:v>
                </c:pt>
                <c:pt idx="12">
                  <c:v>38.989980240035628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90-4699-8A06-F5B5A9CB3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546000"/>
        <c:axId val="1761523536"/>
      </c:lineChart>
      <c:catAx>
        <c:axId val="176154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523536"/>
        <c:crosses val="autoZero"/>
        <c:auto val="1"/>
        <c:lblAlgn val="ctr"/>
        <c:lblOffset val="100"/>
        <c:noMultiLvlLbl val="0"/>
      </c:catAx>
      <c:valAx>
        <c:axId val="176152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900" b="0" i="0" baseline="0">
                    <a:effectLst/>
                  </a:rPr>
                  <a:t>Millions of Tala</a:t>
                </a:r>
                <a:endParaRPr lang="en-A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5.5555555555555558E-3"/>
              <c:y val="0.339052566345873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546000"/>
        <c:crosses val="autoZero"/>
        <c:crossBetween val="between"/>
      </c:valAx>
      <c:valAx>
        <c:axId val="1765800368"/>
        <c:scaling>
          <c:orientation val="minMax"/>
          <c:max val="1.02"/>
          <c:min val="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793712"/>
        <c:crosses val="max"/>
        <c:crossBetween val="between"/>
      </c:valAx>
      <c:catAx>
        <c:axId val="1765793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65800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200"/>
              <a:t>Transnational Crime Unit (Current)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Current!$A$123</c:f>
              <c:strCache>
                <c:ptCount val="1"/>
                <c:pt idx="0">
                  <c:v>First Budget of New Gov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14-404E-8D77-21CDF9568C6D}"/>
              </c:ext>
            </c:extLst>
          </c:dPt>
          <c:dLbls>
            <c:dLbl>
              <c:idx val="13"/>
              <c:layout>
                <c:manualLayout>
                  <c:x val="-1.8164453157803368E-16"/>
                  <c:y val="0.16121209043911422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Fiame Naomi Mata'afa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314-404E-8D77-21CDF9568C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Current!$B$120:$P$120</c:f>
              <c:strCache>
                <c:ptCount val="15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  <c:pt idx="10">
                  <c:v>2018-2019</c:v>
                </c:pt>
                <c:pt idx="11">
                  <c:v>2019-2020</c:v>
                </c:pt>
                <c:pt idx="12">
                  <c:v>2020-2021</c:v>
                </c:pt>
                <c:pt idx="13">
                  <c:v>2021-2022</c:v>
                </c:pt>
                <c:pt idx="14">
                  <c:v>2022-2023</c:v>
                </c:pt>
              </c:strCache>
            </c:strRef>
          </c:cat>
          <c:val>
            <c:numRef>
              <c:f>Current!$B$123:$P$123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14-404E-8D77-21CDF9568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1"/>
        <c:axId val="144524351"/>
        <c:axId val="144523871"/>
      </c:barChart>
      <c:lineChart>
        <c:grouping val="standard"/>
        <c:varyColors val="0"/>
        <c:ser>
          <c:idx val="0"/>
          <c:order val="0"/>
          <c:tx>
            <c:strRef>
              <c:f>Current!$A$121</c:f>
              <c:strCache>
                <c:ptCount val="1"/>
                <c:pt idx="0">
                  <c:v>Budget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Current!$B$120:$P$120</c:f>
              <c:strCache>
                <c:ptCount val="15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  <c:pt idx="10">
                  <c:v>2018-2019</c:v>
                </c:pt>
                <c:pt idx="11">
                  <c:v>2019-2020</c:v>
                </c:pt>
                <c:pt idx="12">
                  <c:v>2020-2021</c:v>
                </c:pt>
                <c:pt idx="13">
                  <c:v>2021-2022</c:v>
                </c:pt>
                <c:pt idx="14">
                  <c:v>2022-2023</c:v>
                </c:pt>
              </c:strCache>
            </c:strRef>
          </c:cat>
          <c:val>
            <c:numRef>
              <c:f>Current!$B$121:$P$121</c:f>
              <c:numCache>
                <c:formatCode>#,##0.00</c:formatCode>
                <c:ptCount val="15"/>
                <c:pt idx="0">
                  <c:v>8.7725226676485468E-2</c:v>
                </c:pt>
                <c:pt idx="1">
                  <c:v>7.6521072335471174E-2</c:v>
                </c:pt>
                <c:pt idx="2">
                  <c:v>7.6674987177295262E-2</c:v>
                </c:pt>
                <c:pt idx="3">
                  <c:v>6.1702694247839515E-2</c:v>
                </c:pt>
                <c:pt idx="4">
                  <c:v>5.8105334867663977E-2</c:v>
                </c:pt>
                <c:pt idx="5">
                  <c:v>5.822594095940959E-2</c:v>
                </c:pt>
                <c:pt idx="6">
                  <c:v>5.895581834145977E-2</c:v>
                </c:pt>
                <c:pt idx="7">
                  <c:v>5.784334246725991E-2</c:v>
                </c:pt>
                <c:pt idx="8">
                  <c:v>5.7768165551579279E-2</c:v>
                </c:pt>
                <c:pt idx="9">
                  <c:v>5.7028036538756918E-2</c:v>
                </c:pt>
                <c:pt idx="10">
                  <c:v>5.5008166217829724E-2</c:v>
                </c:pt>
                <c:pt idx="11">
                  <c:v>5.3827848230809244E-2</c:v>
                </c:pt>
                <c:pt idx="12">
                  <c:v>5.3039874284657861E-2</c:v>
                </c:pt>
                <c:pt idx="13">
                  <c:v>5.4691194565273903E-2</c:v>
                </c:pt>
                <c:pt idx="14">
                  <c:v>5.0500000000000003E-2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14-404E-8D77-21CDF9568C6D}"/>
            </c:ext>
          </c:extLst>
        </c:ser>
        <c:ser>
          <c:idx val="1"/>
          <c:order val="1"/>
          <c:tx>
            <c:strRef>
              <c:f>Current!$A$122</c:f>
              <c:strCache>
                <c:ptCount val="1"/>
                <c:pt idx="0">
                  <c:v>Payment actuals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Current!$B$120:$P$120</c:f>
              <c:strCache>
                <c:ptCount val="15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  <c:pt idx="10">
                  <c:v>2018-2019</c:v>
                </c:pt>
                <c:pt idx="11">
                  <c:v>2019-2020</c:v>
                </c:pt>
                <c:pt idx="12">
                  <c:v>2020-2021</c:v>
                </c:pt>
                <c:pt idx="13">
                  <c:v>2021-2022</c:v>
                </c:pt>
                <c:pt idx="14">
                  <c:v>2022-2023</c:v>
                </c:pt>
              </c:strCache>
            </c:strRef>
          </c:cat>
          <c:val>
            <c:numRef>
              <c:f>Current!$B$122:$P$122</c:f>
              <c:numCache>
                <c:formatCode>0.00</c:formatCode>
                <c:ptCount val="15"/>
                <c:pt idx="0">
                  <c:v>8.4889257053435807E-2</c:v>
                </c:pt>
                <c:pt idx="1">
                  <c:v>6.133101225497576E-2</c:v>
                </c:pt>
                <c:pt idx="2">
                  <c:v>5.3329339032313211E-2</c:v>
                </c:pt>
                <c:pt idx="3">
                  <c:v>5.4310589293395377E-2</c:v>
                </c:pt>
                <c:pt idx="4">
                  <c:v>5.6255168957422316E-2</c:v>
                </c:pt>
                <c:pt idx="5">
                  <c:v>3.5706914169741692E-2</c:v>
                </c:pt>
                <c:pt idx="6">
                  <c:v>5.8658120644884078E-2</c:v>
                </c:pt>
                <c:pt idx="7">
                  <c:v>5.6369196293886377E-2</c:v>
                </c:pt>
                <c:pt idx="8">
                  <c:v>5.6458372491053371E-2</c:v>
                </c:pt>
                <c:pt idx="9">
                  <c:v>5.2538066770873804E-2</c:v>
                </c:pt>
                <c:pt idx="10">
                  <c:v>5.4601868277250498E-2</c:v>
                </c:pt>
                <c:pt idx="11">
                  <c:v>5.0733546381026284E-2</c:v>
                </c:pt>
                <c:pt idx="12">
                  <c:v>3.3596821754804669E-2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14-404E-8D77-21CDF9568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28671"/>
        <c:axId val="144529151"/>
      </c:lineChart>
      <c:catAx>
        <c:axId val="144528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529151"/>
        <c:crosses val="autoZero"/>
        <c:auto val="1"/>
        <c:lblAlgn val="ctr"/>
        <c:lblOffset val="100"/>
        <c:noMultiLvlLbl val="0"/>
      </c:catAx>
      <c:valAx>
        <c:axId val="144529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</a:rPr>
                  <a:t>Millions of Tala</a:t>
                </a:r>
              </a:p>
            </c:rich>
          </c:tx>
          <c:layout>
            <c:manualLayout>
              <c:xMode val="edge"/>
              <c:yMode val="edge"/>
              <c:x val="1.7338996495338266E-2"/>
              <c:y val="0.35636356833909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528671"/>
        <c:crosses val="autoZero"/>
        <c:crossBetween val="between"/>
      </c:valAx>
      <c:valAx>
        <c:axId val="144523871"/>
        <c:scaling>
          <c:orientation val="minMax"/>
          <c:max val="1.02"/>
          <c:min val="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524351"/>
        <c:crosses val="max"/>
        <c:crossBetween val="between"/>
      </c:valAx>
      <c:catAx>
        <c:axId val="14452435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5238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Current!$A$56</c:f>
              <c:strCache>
                <c:ptCount val="1"/>
                <c:pt idx="0">
                  <c:v>Control of corruption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Current!$B$55:$O$55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Current!$B$56:$O$56</c:f>
              <c:numCache>
                <c:formatCode>0.00</c:formatCode>
                <c:ptCount val="14"/>
                <c:pt idx="0" formatCode="General">
                  <c:v>63.59</c:v>
                </c:pt>
                <c:pt idx="1">
                  <c:v>61.72</c:v>
                </c:pt>
                <c:pt idx="2">
                  <c:v>61.9</c:v>
                </c:pt>
                <c:pt idx="3">
                  <c:v>61.61</c:v>
                </c:pt>
                <c:pt idx="4">
                  <c:v>61.14</c:v>
                </c:pt>
                <c:pt idx="5">
                  <c:v>62.559242249</c:v>
                </c:pt>
                <c:pt idx="6">
                  <c:v>65.38</c:v>
                </c:pt>
                <c:pt idx="7">
                  <c:v>65.87</c:v>
                </c:pt>
                <c:pt idx="8">
                  <c:v>65.87</c:v>
                </c:pt>
                <c:pt idx="9">
                  <c:v>74.038459778000004</c:v>
                </c:pt>
                <c:pt idx="10">
                  <c:v>75</c:v>
                </c:pt>
                <c:pt idx="11">
                  <c:v>73.076919556000007</c:v>
                </c:pt>
                <c:pt idx="12" formatCode="General">
                  <c:v>76.92</c:v>
                </c:pt>
                <c:pt idx="13" formatCode="General">
                  <c:v>72.12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DC-4EA7-BE01-9A117A386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0040303"/>
        <c:axId val="1550038863"/>
      </c:lineChart>
      <c:catAx>
        <c:axId val="155004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0038863"/>
        <c:crosses val="autoZero"/>
        <c:auto val="1"/>
        <c:lblAlgn val="ctr"/>
        <c:lblOffset val="100"/>
        <c:noMultiLvlLbl val="0"/>
      </c:catAx>
      <c:valAx>
        <c:axId val="1550038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0040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132</xdr:row>
      <xdr:rowOff>4762</xdr:rowOff>
    </xdr:from>
    <xdr:to>
      <xdr:col>7</xdr:col>
      <xdr:colOff>66675</xdr:colOff>
      <xdr:row>149</xdr:row>
      <xdr:rowOff>28575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85E02CD-8056-5BC8-DE1B-26CE594503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3399</xdr:colOff>
      <xdr:row>132</xdr:row>
      <xdr:rowOff>22450</xdr:rowOff>
    </xdr:from>
    <xdr:to>
      <xdr:col>15</xdr:col>
      <xdr:colOff>185056</xdr:colOff>
      <xdr:row>148</xdr:row>
      <xdr:rowOff>174171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0F344B0-3ED2-C54E-E86F-B0B34D6A47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25174</xdr:colOff>
      <xdr:row>151</xdr:row>
      <xdr:rowOff>14288</xdr:rowOff>
    </xdr:from>
    <xdr:to>
      <xdr:col>7</xdr:col>
      <xdr:colOff>20412</xdr:colOff>
      <xdr:row>167</xdr:row>
      <xdr:rowOff>9525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A51F0846-E921-270E-52F1-C99F7EFA7F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842960</xdr:colOff>
      <xdr:row>150</xdr:row>
      <xdr:rowOff>177570</xdr:rowOff>
    </xdr:from>
    <xdr:to>
      <xdr:col>15</xdr:col>
      <xdr:colOff>261256</xdr:colOff>
      <xdr:row>167</xdr:row>
      <xdr:rowOff>10886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28B718C-0308-14A6-033C-B6843277C6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2965675</xdr:colOff>
      <xdr:row>169</xdr:row>
      <xdr:rowOff>14287</xdr:rowOff>
    </xdr:from>
    <xdr:to>
      <xdr:col>6</xdr:col>
      <xdr:colOff>827313</xdr:colOff>
      <xdr:row>184</xdr:row>
      <xdr:rowOff>161925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017868B-1A6A-72D7-4784-EE7D1CCD04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838199</xdr:colOff>
      <xdr:row>169</xdr:row>
      <xdr:rowOff>10884</xdr:rowOff>
    </xdr:from>
    <xdr:to>
      <xdr:col>15</xdr:col>
      <xdr:colOff>315686</xdr:colOff>
      <xdr:row>185</xdr:row>
      <xdr:rowOff>152399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069046C-3DCD-4B88-AF54-2ADE81EE73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-1</xdr:colOff>
      <xdr:row>187</xdr:row>
      <xdr:rowOff>21771</xdr:rowOff>
    </xdr:from>
    <xdr:to>
      <xdr:col>6</xdr:col>
      <xdr:colOff>250371</xdr:colOff>
      <xdr:row>201</xdr:row>
      <xdr:rowOff>174171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3AF57316-DB42-8BE1-4A6C-951F2F159F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mf.org/en/Publications/WEO/weo-database/2022/April/weo-report?c=516,819,826,862,&amp;s=PCPI,PCPIPCH,PCPIE,PCPIEPCH,&amp;sy=2010&amp;ey=2027&amp;ssm=0&amp;scsm=1&amp;scc=0&amp;ssd=1&amp;ssc=0&amp;sic=0&amp;sort=country&amp;ds=.&amp;br=1" TargetMode="External"/><Relationship Id="rId1" Type="http://schemas.openxmlformats.org/officeDocument/2006/relationships/hyperlink" Target="https://info.worldbank.org/governance/wgi/Home/Report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3A8A7-9B19-462C-B15B-D7A0E6637CA1}">
  <dimension ref="A1:R131"/>
  <sheetViews>
    <sheetView tabSelected="1" zoomScale="70" zoomScaleNormal="70" workbookViewId="0">
      <pane ySplit="1" topLeftCell="A184" activePane="bottomLeft" state="frozen"/>
      <selection activeCell="B1" sqref="B1"/>
      <selection pane="bottomLeft" activeCell="L205" sqref="L205"/>
    </sheetView>
  </sheetViews>
  <sheetFormatPr defaultRowHeight="14.4" x14ac:dyDescent="0.3"/>
  <cols>
    <col min="1" max="1" width="44.6640625" customWidth="1"/>
    <col min="2" max="4" width="12.44140625" customWidth="1"/>
    <col min="5" max="5" width="13.44140625" customWidth="1"/>
    <col min="6" max="14" width="12.44140625" customWidth="1"/>
    <col min="15" max="16" width="12.88671875" customWidth="1"/>
    <col min="17" max="17" width="64.88671875" customWidth="1"/>
    <col min="18" max="18" width="14.44140625" customWidth="1"/>
  </cols>
  <sheetData>
    <row r="1" spans="1:18" ht="32.4" customHeight="1" x14ac:dyDescent="0.3">
      <c r="A1" s="73" t="s">
        <v>51</v>
      </c>
      <c r="B1" s="72" t="s">
        <v>23</v>
      </c>
      <c r="C1" s="72" t="s">
        <v>22</v>
      </c>
      <c r="D1" s="72" t="s">
        <v>11</v>
      </c>
      <c r="E1" s="72" t="s">
        <v>10</v>
      </c>
      <c r="F1" s="72" t="s">
        <v>9</v>
      </c>
      <c r="G1" s="72" t="s">
        <v>8</v>
      </c>
      <c r="H1" s="72" t="s">
        <v>5</v>
      </c>
      <c r="I1" s="72" t="s">
        <v>6</v>
      </c>
      <c r="J1" s="72" t="s">
        <v>7</v>
      </c>
      <c r="K1" s="72" t="s">
        <v>4</v>
      </c>
      <c r="L1" s="72" t="s">
        <v>3</v>
      </c>
      <c r="M1" s="72" t="s">
        <v>2</v>
      </c>
      <c r="N1" s="72" t="s">
        <v>1</v>
      </c>
      <c r="O1" s="72" t="s">
        <v>21</v>
      </c>
      <c r="P1" s="72" t="s">
        <v>27</v>
      </c>
      <c r="Q1" s="72" t="s">
        <v>67</v>
      </c>
    </row>
    <row r="2" spans="1:18" x14ac:dyDescent="0.3">
      <c r="A2" s="26" t="s">
        <v>29</v>
      </c>
      <c r="B2" s="31"/>
      <c r="C2" s="3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8" x14ac:dyDescent="0.3">
      <c r="A3" s="26"/>
      <c r="B3" s="31"/>
      <c r="C3" s="3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8" x14ac:dyDescent="0.3">
      <c r="A4" s="3" t="s">
        <v>42</v>
      </c>
      <c r="B4" s="3"/>
      <c r="C4" s="3"/>
    </row>
    <row r="5" spans="1:18" x14ac:dyDescent="0.3">
      <c r="A5" s="4" t="s">
        <v>46</v>
      </c>
      <c r="B5" s="5">
        <v>415053</v>
      </c>
      <c r="C5" s="5">
        <v>379083</v>
      </c>
      <c r="D5" s="5">
        <v>488071</v>
      </c>
      <c r="E5" s="5">
        <v>568633</v>
      </c>
      <c r="F5" s="5">
        <v>641742</v>
      </c>
      <c r="G5" s="5">
        <v>560173</v>
      </c>
      <c r="H5" s="5">
        <v>789591</v>
      </c>
      <c r="I5" s="5">
        <v>948515</v>
      </c>
      <c r="J5" s="5">
        <v>1119895</v>
      </c>
      <c r="K5" s="5">
        <v>1119496</v>
      </c>
      <c r="L5" s="5">
        <v>1110777</v>
      </c>
      <c r="M5" s="5">
        <v>1206828</v>
      </c>
      <c r="N5" s="5">
        <v>1583361</v>
      </c>
      <c r="O5" s="5">
        <v>1483635</v>
      </c>
      <c r="P5" s="5">
        <v>1653695</v>
      </c>
      <c r="Q5" s="1"/>
    </row>
    <row r="6" spans="1:18" x14ac:dyDescent="0.3">
      <c r="A6" s="4" t="s">
        <v>45</v>
      </c>
      <c r="B6" s="5">
        <v>122320</v>
      </c>
      <c r="C6" s="5">
        <v>122320</v>
      </c>
      <c r="D6" s="5">
        <v>127938</v>
      </c>
      <c r="E6" s="5">
        <v>127938</v>
      </c>
      <c r="F6" s="5">
        <v>124694</v>
      </c>
      <c r="G6" s="5">
        <v>126510</v>
      </c>
      <c r="H6" s="5">
        <v>128327</v>
      </c>
      <c r="I6" s="5">
        <v>128327</v>
      </c>
      <c r="J6" s="5">
        <v>128327</v>
      </c>
      <c r="K6" s="5">
        <v>130681</v>
      </c>
      <c r="L6" s="5">
        <v>130681</v>
      </c>
      <c r="M6" s="5">
        <v>132587</v>
      </c>
      <c r="N6" s="5">
        <v>134493</v>
      </c>
      <c r="O6" s="5">
        <v>138129</v>
      </c>
      <c r="P6" s="5">
        <v>138129</v>
      </c>
      <c r="Q6" s="25"/>
    </row>
    <row r="7" spans="1:18" x14ac:dyDescent="0.3">
      <c r="A7" s="6" t="s">
        <v>34</v>
      </c>
      <c r="B7" s="27">
        <f t="shared" ref="B7:P7" si="0">SUM(B5:B6)/1000000</f>
        <v>0.53737299999999999</v>
      </c>
      <c r="C7" s="27">
        <f t="shared" si="0"/>
        <v>0.50140300000000004</v>
      </c>
      <c r="D7" s="27">
        <f t="shared" si="0"/>
        <v>0.61600900000000003</v>
      </c>
      <c r="E7" s="27">
        <f t="shared" si="0"/>
        <v>0.69657100000000005</v>
      </c>
      <c r="F7" s="27">
        <f t="shared" si="0"/>
        <v>0.76643600000000001</v>
      </c>
      <c r="G7" s="27">
        <f t="shared" si="0"/>
        <v>0.68668300000000004</v>
      </c>
      <c r="H7" s="27">
        <f t="shared" si="0"/>
        <v>0.91791800000000001</v>
      </c>
      <c r="I7" s="27">
        <f t="shared" si="0"/>
        <v>1.0768420000000001</v>
      </c>
      <c r="J7" s="27">
        <f t="shared" si="0"/>
        <v>1.2482219999999999</v>
      </c>
      <c r="K7" s="27">
        <f t="shared" si="0"/>
        <v>1.2501770000000001</v>
      </c>
      <c r="L7" s="27">
        <f t="shared" si="0"/>
        <v>1.241458</v>
      </c>
      <c r="M7" s="27">
        <f t="shared" si="0"/>
        <v>1.339415</v>
      </c>
      <c r="N7" s="27">
        <f t="shared" si="0"/>
        <v>1.717854</v>
      </c>
      <c r="O7" s="27">
        <f t="shared" si="0"/>
        <v>1.621764</v>
      </c>
      <c r="P7" s="46">
        <f t="shared" si="0"/>
        <v>1.7918240000000001</v>
      </c>
      <c r="R7" s="1"/>
    </row>
    <row r="8" spans="1:18" x14ac:dyDescent="0.3">
      <c r="A8" s="4" t="s">
        <v>33</v>
      </c>
      <c r="B8" s="56">
        <f>445733/1000000</f>
        <v>0.44573299999999999</v>
      </c>
      <c r="C8" s="56">
        <f>359823/1000000</f>
        <v>0.359823</v>
      </c>
      <c r="D8" s="56">
        <f>493760/1000000</f>
        <v>0.49375999999999998</v>
      </c>
      <c r="E8" s="56">
        <f>538149/1000000</f>
        <v>0.53814899999999999</v>
      </c>
      <c r="F8" s="56">
        <f>625152/1000000</f>
        <v>0.62515200000000004</v>
      </c>
      <c r="G8" s="56">
        <f>504806/1000000</f>
        <v>0.50480599999999998</v>
      </c>
      <c r="H8" s="56">
        <f>743757/1000000</f>
        <v>0.743757</v>
      </c>
      <c r="I8" s="56">
        <f>923665/1000000</f>
        <v>0.92366499999999996</v>
      </c>
      <c r="J8" s="56">
        <f>1049759/1000000</f>
        <v>1.0497590000000001</v>
      </c>
      <c r="K8" s="56">
        <f>990843/1000000</f>
        <v>0.99084300000000003</v>
      </c>
      <c r="L8" s="56">
        <f>1148229/1000000</f>
        <v>1.1482289999999999</v>
      </c>
      <c r="M8" s="56">
        <f>1190899/1000000</f>
        <v>1.1908989999999999</v>
      </c>
      <c r="N8" s="56">
        <f>1613935/1000000</f>
        <v>1.6139349999999999</v>
      </c>
      <c r="O8" s="46"/>
      <c r="P8" s="46"/>
      <c r="R8" s="1"/>
    </row>
    <row r="9" spans="1:18" x14ac:dyDescent="0.3">
      <c r="A9" s="4" t="s">
        <v>35</v>
      </c>
      <c r="B9" s="56">
        <f>122554/1000000</f>
        <v>0.122554</v>
      </c>
      <c r="C9" s="56">
        <f>122461/1000000</f>
        <v>0.122461</v>
      </c>
      <c r="D9" s="56">
        <f>124667/1000000</f>
        <v>0.124667</v>
      </c>
      <c r="E9" s="56">
        <f>127549/1000000</f>
        <v>0.127549</v>
      </c>
      <c r="F9" s="56">
        <f>124694/1000000</f>
        <v>0.124694</v>
      </c>
      <c r="G9" s="56">
        <f>141373/1000000</f>
        <v>0.141373</v>
      </c>
      <c r="H9" s="56">
        <f>128266/1000000</f>
        <v>0.12826599999999999</v>
      </c>
      <c r="I9" s="56">
        <f>129504/1000000</f>
        <v>0.12950400000000001</v>
      </c>
      <c r="J9" s="56">
        <f>130635/1000000</f>
        <v>0.130635</v>
      </c>
      <c r="K9" s="56">
        <f>130681/1000000</f>
        <v>0.13068099999999999</v>
      </c>
      <c r="L9" s="56">
        <f>130681/1000000</f>
        <v>0.13068099999999999</v>
      </c>
      <c r="M9" s="56">
        <f>139227/1000000</f>
        <v>0.13922699999999999</v>
      </c>
      <c r="N9" s="56">
        <f>142130/1000000</f>
        <v>0.14213000000000001</v>
      </c>
      <c r="O9" s="46"/>
      <c r="P9" s="57"/>
      <c r="R9" s="1"/>
    </row>
    <row r="10" spans="1:18" x14ac:dyDescent="0.3">
      <c r="A10" s="4" t="s">
        <v>31</v>
      </c>
      <c r="B10" s="27"/>
      <c r="C10" s="27"/>
      <c r="D10" s="27"/>
      <c r="E10" s="27"/>
      <c r="F10" s="27"/>
      <c r="G10" s="56">
        <f>199975/1000000</f>
        <v>0.19997500000000001</v>
      </c>
      <c r="H10" s="56"/>
      <c r="I10" s="56"/>
      <c r="J10" s="56"/>
      <c r="K10" s="56"/>
      <c r="L10" s="56"/>
      <c r="M10" s="56"/>
      <c r="N10" s="27"/>
      <c r="O10" s="46"/>
      <c r="P10" s="57"/>
      <c r="R10" s="1"/>
    </row>
    <row r="11" spans="1:18" x14ac:dyDescent="0.3">
      <c r="A11" s="6" t="s">
        <v>32</v>
      </c>
      <c r="B11" s="27">
        <f>SUM(B8:B10)</f>
        <v>0.56828699999999999</v>
      </c>
      <c r="C11" s="27">
        <f>SUM(C8:C10)</f>
        <v>0.48228399999999999</v>
      </c>
      <c r="D11" s="27">
        <f>SUM(D8:D10)</f>
        <v>0.61842699999999995</v>
      </c>
      <c r="E11" s="27">
        <f>SUM(E8:E10)</f>
        <v>0.66569800000000001</v>
      </c>
      <c r="F11" s="27">
        <f>SUM(F8:F10)</f>
        <v>0.74984600000000001</v>
      </c>
      <c r="G11" s="27">
        <f t="shared" ref="G11:N11" si="1">SUM(G8:G10)</f>
        <v>0.84615399999999996</v>
      </c>
      <c r="H11" s="27">
        <f t="shared" si="1"/>
        <v>0.87202299999999999</v>
      </c>
      <c r="I11" s="27">
        <f t="shared" si="1"/>
        <v>1.053169</v>
      </c>
      <c r="J11" s="27">
        <f t="shared" si="1"/>
        <v>1.1803940000000002</v>
      </c>
      <c r="K11" s="27">
        <f t="shared" si="1"/>
        <v>1.121524</v>
      </c>
      <c r="L11" s="27">
        <f t="shared" si="1"/>
        <v>1.27891</v>
      </c>
      <c r="M11" s="27">
        <f t="shared" si="1"/>
        <v>1.3301259999999999</v>
      </c>
      <c r="N11" s="27">
        <f t="shared" si="1"/>
        <v>1.756065</v>
      </c>
      <c r="O11" s="46"/>
      <c r="P11" s="46"/>
      <c r="R11" s="1"/>
    </row>
    <row r="12" spans="1:18" x14ac:dyDescent="0.3">
      <c r="E12" s="1"/>
      <c r="F12" s="1"/>
      <c r="J12" s="26"/>
      <c r="L12" s="25"/>
      <c r="N12" s="1"/>
      <c r="R12" s="1"/>
    </row>
    <row r="13" spans="1:18" x14ac:dyDescent="0.3">
      <c r="A13" s="3" t="s">
        <v>12</v>
      </c>
      <c r="B13" s="3"/>
      <c r="C13" s="3"/>
      <c r="Q13" s="26"/>
      <c r="R13" s="1"/>
    </row>
    <row r="14" spans="1:18" x14ac:dyDescent="0.3">
      <c r="A14" s="7" t="s">
        <v>46</v>
      </c>
      <c r="B14" s="18">
        <f>2593988/1000000</f>
        <v>2.593988</v>
      </c>
      <c r="C14" s="18">
        <f>2461510/1000000</f>
        <v>2.4615100000000001</v>
      </c>
      <c r="D14" s="18">
        <f>2643162/1000000</f>
        <v>2.6431619999999998</v>
      </c>
      <c r="E14" s="18">
        <f>2991627/1000000</f>
        <v>2.9916269999999998</v>
      </c>
      <c r="F14" s="18">
        <f>3213559/1000000</f>
        <v>3.2135590000000001</v>
      </c>
      <c r="G14" s="18">
        <f>3136087/1000000</f>
        <v>3.1360869999999998</v>
      </c>
      <c r="H14" s="18">
        <f>3341769/1000000</f>
        <v>3.3417690000000002</v>
      </c>
      <c r="I14" s="18">
        <f>3497001/1000000</f>
        <v>3.497001</v>
      </c>
      <c r="J14" s="18">
        <f>3380412/1000000</f>
        <v>3.3804120000000002</v>
      </c>
      <c r="K14" s="18">
        <f>3522368/1000000</f>
        <v>3.5223680000000002</v>
      </c>
      <c r="L14" s="18">
        <f>3768659/1000000</f>
        <v>3.768659</v>
      </c>
      <c r="M14" s="18">
        <f>3913650/1000000</f>
        <v>3.9136500000000001</v>
      </c>
      <c r="N14" s="18">
        <f>3978992/1000000</f>
        <v>3.9789919999999999</v>
      </c>
      <c r="O14" s="18">
        <f>4107581/1000000</f>
        <v>4.1075809999999997</v>
      </c>
      <c r="P14" s="18">
        <f>4006672/1000000</f>
        <v>4.006672</v>
      </c>
      <c r="Q14" s="1"/>
      <c r="R14" s="1"/>
    </row>
    <row r="15" spans="1:18" x14ac:dyDescent="0.3">
      <c r="A15" s="7" t="s">
        <v>45</v>
      </c>
      <c r="B15" s="18">
        <f>125500/1000000</f>
        <v>0.1255</v>
      </c>
      <c r="C15" s="18">
        <f>125500/1000000</f>
        <v>0.1255</v>
      </c>
      <c r="D15" s="18">
        <f>127938/1000000</f>
        <v>0.127938</v>
      </c>
      <c r="E15" s="18">
        <f>127938/1000000</f>
        <v>0.127938</v>
      </c>
      <c r="F15" s="18">
        <f>127938/1000000</f>
        <v>0.127938</v>
      </c>
      <c r="G15" s="18">
        <f>129803/1000000</f>
        <v>0.129803</v>
      </c>
      <c r="H15" s="18">
        <f>131668/1000000</f>
        <v>0.13166800000000001</v>
      </c>
      <c r="I15" s="18">
        <f>131668/1000000</f>
        <v>0.13166800000000001</v>
      </c>
      <c r="J15" s="18">
        <f>131668/1000000</f>
        <v>0.13166800000000001</v>
      </c>
      <c r="K15" s="18">
        <f>134085/1000000</f>
        <v>0.13408500000000001</v>
      </c>
      <c r="L15" s="18">
        <f>134085/1000000</f>
        <v>0.13408500000000001</v>
      </c>
      <c r="M15" s="18">
        <f>136042/1000000</f>
        <v>0.136042</v>
      </c>
      <c r="N15" s="18">
        <f>137999/1000000</f>
        <v>0.13799900000000001</v>
      </c>
      <c r="O15" s="18">
        <f>141732/1000000</f>
        <v>0.141732</v>
      </c>
      <c r="P15" s="18">
        <f>141732/1000000</f>
        <v>0.141732</v>
      </c>
      <c r="Q15" s="1"/>
      <c r="R15" s="1"/>
    </row>
    <row r="16" spans="1:18" x14ac:dyDescent="0.3">
      <c r="A16" s="7" t="s">
        <v>34</v>
      </c>
      <c r="B16" s="77">
        <f t="shared" ref="B16:P16" si="2">SUM(B14:B15)</f>
        <v>2.7194880000000001</v>
      </c>
      <c r="C16" s="77">
        <f t="shared" si="2"/>
        <v>2.5870100000000003</v>
      </c>
      <c r="D16" s="77">
        <f t="shared" si="2"/>
        <v>2.7710999999999997</v>
      </c>
      <c r="E16" s="77">
        <f t="shared" si="2"/>
        <v>3.1195649999999997</v>
      </c>
      <c r="F16" s="77">
        <f t="shared" si="2"/>
        <v>3.3414969999999999</v>
      </c>
      <c r="G16" s="77">
        <f t="shared" si="2"/>
        <v>3.2658899999999997</v>
      </c>
      <c r="H16" s="77">
        <f t="shared" si="2"/>
        <v>3.4734370000000001</v>
      </c>
      <c r="I16" s="77">
        <f t="shared" si="2"/>
        <v>3.6286689999999999</v>
      </c>
      <c r="J16" s="77">
        <f t="shared" si="2"/>
        <v>3.5120800000000001</v>
      </c>
      <c r="K16" s="77">
        <f t="shared" si="2"/>
        <v>3.656453</v>
      </c>
      <c r="L16" s="77">
        <f t="shared" si="2"/>
        <v>3.9027440000000002</v>
      </c>
      <c r="M16" s="77">
        <f t="shared" si="2"/>
        <v>4.0496920000000003</v>
      </c>
      <c r="N16" s="77">
        <f t="shared" si="2"/>
        <v>4.1169909999999996</v>
      </c>
      <c r="O16" s="77">
        <f t="shared" si="2"/>
        <v>4.2493129999999999</v>
      </c>
      <c r="P16" s="18">
        <f t="shared" si="2"/>
        <v>4.1484040000000002</v>
      </c>
      <c r="Q16" s="1"/>
      <c r="R16" s="1"/>
    </row>
    <row r="17" spans="1:18" x14ac:dyDescent="0.3">
      <c r="A17" s="7" t="s">
        <v>33</v>
      </c>
      <c r="B17" s="58">
        <f>2511473/1000000</f>
        <v>2.5114730000000001</v>
      </c>
      <c r="C17" s="58">
        <f>2340339/1000000</f>
        <v>2.3403390000000002</v>
      </c>
      <c r="D17" s="58">
        <f>2579634/1000000</f>
        <v>2.579634</v>
      </c>
      <c r="E17" s="58">
        <f>2374539/1000000</f>
        <v>2.374539</v>
      </c>
      <c r="F17" s="40">
        <f>3014825/1000000</f>
        <v>3.0148250000000001</v>
      </c>
      <c r="G17" s="58">
        <f>3142063/1000000</f>
        <v>3.1420629999999998</v>
      </c>
      <c r="H17" s="58">
        <f>3185486/1000000</f>
        <v>3.185486</v>
      </c>
      <c r="I17" s="58">
        <f>3129436/1000000</f>
        <v>3.1294360000000001</v>
      </c>
      <c r="J17" s="40">
        <f>3211302/1000000</f>
        <v>3.2113019999999999</v>
      </c>
      <c r="K17" s="58">
        <f>3436750/1000000</f>
        <v>3.43675</v>
      </c>
      <c r="L17" s="40">
        <f>3553035/1000000</f>
        <v>3.5530349999999999</v>
      </c>
      <c r="M17" s="18">
        <f>3770200/1000000</f>
        <v>3.7702</v>
      </c>
      <c r="N17" s="18">
        <f>3442077/1000000</f>
        <v>3.4420769999999998</v>
      </c>
      <c r="O17" s="8"/>
      <c r="P17" s="8"/>
      <c r="R17" s="1"/>
    </row>
    <row r="18" spans="1:18" x14ac:dyDescent="0.3">
      <c r="A18" s="7" t="s">
        <v>35</v>
      </c>
      <c r="B18" s="58">
        <f>135358/1000000</f>
        <v>0.13535800000000001</v>
      </c>
      <c r="C18" s="58">
        <f>122115/1000000</f>
        <v>0.122115</v>
      </c>
      <c r="D18" s="58">
        <f>130367/1000000</f>
        <v>0.13036700000000001</v>
      </c>
      <c r="E18" s="58">
        <f>130707/1000000</f>
        <v>0.13070699999999999</v>
      </c>
      <c r="F18" s="58">
        <f>127938/1000000</f>
        <v>0.127938</v>
      </c>
      <c r="G18" s="58">
        <f>129703/1000000</f>
        <v>0.12970300000000001</v>
      </c>
      <c r="H18" s="58">
        <f>131605/1000000</f>
        <v>0.131605</v>
      </c>
      <c r="I18" s="58">
        <f>132876/1000000</f>
        <v>0.13287599999999999</v>
      </c>
      <c r="J18" s="40">
        <f>134038/1000000</f>
        <v>0.13403799999999999</v>
      </c>
      <c r="K18" s="58">
        <f>134085/1000000</f>
        <v>0.13408500000000001</v>
      </c>
      <c r="L18" s="58">
        <f>134084/1000000</f>
        <v>0.13408400000000001</v>
      </c>
      <c r="M18" s="58">
        <f>142856/1000000</f>
        <v>0.14285600000000001</v>
      </c>
      <c r="N18" s="28">
        <f>140488/1000000</f>
        <v>0.140488</v>
      </c>
      <c r="O18" s="8"/>
      <c r="P18" s="8"/>
      <c r="R18" s="1"/>
    </row>
    <row r="19" spans="1:18" x14ac:dyDescent="0.3">
      <c r="A19" s="84" t="s">
        <v>32</v>
      </c>
      <c r="B19" s="67">
        <f>SUM(B17:B18)</f>
        <v>2.6468310000000002</v>
      </c>
      <c r="C19" s="67">
        <f>SUM(C17:C18)</f>
        <v>2.4624540000000001</v>
      </c>
      <c r="D19" s="67">
        <f>SUM(D17:D18)</f>
        <v>2.7100010000000001</v>
      </c>
      <c r="E19" s="67">
        <f>SUM(E17:E18)</f>
        <v>2.5052460000000001</v>
      </c>
      <c r="F19" s="67">
        <f>SUM(F17:F18)</f>
        <v>3.142763</v>
      </c>
      <c r="G19" s="66">
        <f t="shared" ref="G19:N19" si="3">SUM(G17:G18)</f>
        <v>3.271766</v>
      </c>
      <c r="H19" s="66">
        <f t="shared" si="3"/>
        <v>3.317091</v>
      </c>
      <c r="I19" s="66">
        <f t="shared" si="3"/>
        <v>3.2623120000000001</v>
      </c>
      <c r="J19" s="67">
        <f t="shared" si="3"/>
        <v>3.3453399999999998</v>
      </c>
      <c r="K19" s="66">
        <f t="shared" si="3"/>
        <v>3.5708349999999998</v>
      </c>
      <c r="L19" s="66">
        <f t="shared" si="3"/>
        <v>3.687119</v>
      </c>
      <c r="M19" s="67">
        <f t="shared" si="3"/>
        <v>3.9130560000000001</v>
      </c>
      <c r="N19" s="67">
        <f t="shared" si="3"/>
        <v>3.5825649999999998</v>
      </c>
      <c r="O19" s="54"/>
      <c r="P19" s="54"/>
      <c r="R19" s="1"/>
    </row>
    <row r="20" spans="1:18" x14ac:dyDescent="0.3">
      <c r="E20" s="1"/>
      <c r="L20" s="25"/>
      <c r="O20" s="1"/>
      <c r="P20" s="1"/>
      <c r="R20" s="1"/>
    </row>
    <row r="21" spans="1:18" x14ac:dyDescent="0.3">
      <c r="A21" s="3" t="s">
        <v>13</v>
      </c>
      <c r="R21" s="1"/>
    </row>
    <row r="22" spans="1:18" x14ac:dyDescent="0.3">
      <c r="A22" s="39" t="s">
        <v>46</v>
      </c>
      <c r="B22" s="63">
        <f>3007564/1000000</f>
        <v>3.0075639999999999</v>
      </c>
      <c r="C22" s="63">
        <f>2622397/1000000</f>
        <v>2.6223969999999999</v>
      </c>
      <c r="D22" s="64">
        <f>2997543/1000000</f>
        <v>2.9975429999999998</v>
      </c>
      <c r="E22" s="63">
        <f>3252295/1000000</f>
        <v>3.2522950000000002</v>
      </c>
      <c r="F22" s="63">
        <f>3596832/1000000</f>
        <v>3.596832</v>
      </c>
      <c r="G22" s="63">
        <f>3799425/1000000</f>
        <v>3.7994249999999998</v>
      </c>
      <c r="H22" s="63">
        <f>4402019/1000000</f>
        <v>4.4020190000000001</v>
      </c>
      <c r="I22" s="63">
        <f>4739202/1000000</f>
        <v>4.7392019999999997</v>
      </c>
      <c r="J22" s="63">
        <f>4634310/1000000</f>
        <v>4.6343100000000002</v>
      </c>
      <c r="K22" s="63">
        <f>4938096/1000000</f>
        <v>4.9380959999999998</v>
      </c>
      <c r="L22" s="63">
        <f>4839368/1000000</f>
        <v>4.8393680000000003</v>
      </c>
      <c r="M22" s="63">
        <f>4990897/1000000</f>
        <v>4.9908970000000004</v>
      </c>
      <c r="N22" s="63">
        <f>5154961/1000000</f>
        <v>5.1549610000000001</v>
      </c>
      <c r="O22" s="63">
        <f>8525285/1000000</f>
        <v>8.5252850000000002</v>
      </c>
      <c r="P22" s="63">
        <f>8788431/1000000</f>
        <v>8.7884309999999992</v>
      </c>
      <c r="R22" s="1"/>
    </row>
    <row r="23" spans="1:18" x14ac:dyDescent="0.3">
      <c r="A23" s="39" t="s">
        <v>33</v>
      </c>
      <c r="B23" s="62">
        <f>2753845/1000000</f>
        <v>2.7538450000000001</v>
      </c>
      <c r="C23" s="62">
        <f>2501014/1000000</f>
        <v>2.5010140000000001</v>
      </c>
      <c r="D23" s="62">
        <f>3027835/1000000</f>
        <v>3.0278350000000001</v>
      </c>
      <c r="E23" s="62">
        <f>3223318/1000000</f>
        <v>3.2233179999999999</v>
      </c>
      <c r="F23" s="62">
        <f>3514439/1000000</f>
        <v>3.5144389999999999</v>
      </c>
      <c r="G23" s="62">
        <f>3727923/1000000</f>
        <v>3.7279230000000001</v>
      </c>
      <c r="H23" s="62">
        <f>4127435/1000000</f>
        <v>4.1274350000000002</v>
      </c>
      <c r="I23" s="62">
        <f>4518530/1000000</f>
        <v>4.5185300000000002</v>
      </c>
      <c r="J23" s="62">
        <f>4547399/1000000</f>
        <v>4.5473990000000004</v>
      </c>
      <c r="K23" s="62">
        <f>4819282/1000000</f>
        <v>4.8192820000000003</v>
      </c>
      <c r="L23" s="62">
        <f>4850767/1000000</f>
        <v>4.8507670000000003</v>
      </c>
      <c r="M23" s="62">
        <f>5005209/1000000</f>
        <v>5.0052089999999998</v>
      </c>
      <c r="N23" s="48">
        <f>5025256/1000000</f>
        <v>5.0252559999999997</v>
      </c>
      <c r="O23" s="48"/>
      <c r="P23" s="48"/>
      <c r="R23" s="1"/>
    </row>
    <row r="24" spans="1:18" x14ac:dyDescent="0.3">
      <c r="A24" s="39" t="s">
        <v>31</v>
      </c>
      <c r="B24" s="47"/>
      <c r="C24" s="47"/>
      <c r="D24" s="47"/>
      <c r="E24" s="47"/>
      <c r="F24" s="62">
        <f>57189/1000000</f>
        <v>5.7188999999999997E-2</v>
      </c>
      <c r="G24" s="63">
        <f>143478/1000000</f>
        <v>0.14347799999999999</v>
      </c>
      <c r="H24" s="63">
        <f>34970/1000000</f>
        <v>3.4970000000000001E-2</v>
      </c>
      <c r="I24" s="62">
        <f>17391/1000000</f>
        <v>1.7391E-2</v>
      </c>
      <c r="J24" s="63">
        <f>43700/1000000</f>
        <v>4.3700000000000003E-2</v>
      </c>
      <c r="K24" s="62">
        <v>0</v>
      </c>
      <c r="L24" s="62">
        <v>0</v>
      </c>
      <c r="M24" s="62">
        <v>0</v>
      </c>
      <c r="N24" s="47">
        <v>0</v>
      </c>
      <c r="O24" s="48"/>
      <c r="P24" s="48"/>
      <c r="R24" s="1"/>
    </row>
    <row r="25" spans="1:18" x14ac:dyDescent="0.3">
      <c r="A25" s="92" t="s">
        <v>32</v>
      </c>
      <c r="B25" s="60">
        <f>SUM(B23:B24)</f>
        <v>2.7538450000000001</v>
      </c>
      <c r="C25" s="60">
        <f>SUM(C23:C24)</f>
        <v>2.5010140000000001</v>
      </c>
      <c r="D25" s="60">
        <f>SUM(D23:D24)</f>
        <v>3.0278350000000001</v>
      </c>
      <c r="E25" s="60">
        <f>SUM(E23:E24)</f>
        <v>3.2233179999999999</v>
      </c>
      <c r="F25" s="60">
        <f>SUM(F23:F24)</f>
        <v>3.571628</v>
      </c>
      <c r="G25" s="61">
        <f t="shared" ref="G25:N25" si="4">SUM(G23:G24)</f>
        <v>3.8714010000000001</v>
      </c>
      <c r="H25" s="61">
        <f t="shared" si="4"/>
        <v>4.1624050000000006</v>
      </c>
      <c r="I25" s="60">
        <f t="shared" si="4"/>
        <v>4.5359210000000001</v>
      </c>
      <c r="J25" s="61">
        <f t="shared" si="4"/>
        <v>4.5910990000000007</v>
      </c>
      <c r="K25" s="61">
        <f t="shared" si="4"/>
        <v>4.8192820000000003</v>
      </c>
      <c r="L25" s="61">
        <f t="shared" si="4"/>
        <v>4.8507670000000003</v>
      </c>
      <c r="M25" s="61">
        <f t="shared" si="4"/>
        <v>5.0052089999999998</v>
      </c>
      <c r="N25" s="61">
        <f t="shared" si="4"/>
        <v>5.0252559999999997</v>
      </c>
      <c r="O25" s="61"/>
      <c r="P25" s="61"/>
      <c r="R25" s="1"/>
    </row>
    <row r="26" spans="1:18" x14ac:dyDescent="0.3">
      <c r="R26" s="1"/>
    </row>
    <row r="27" spans="1:18" x14ac:dyDescent="0.3">
      <c r="A27" s="3" t="s">
        <v>0</v>
      </c>
      <c r="B27" s="3"/>
      <c r="C27" s="3"/>
      <c r="R27" s="1"/>
    </row>
    <row r="28" spans="1:18" x14ac:dyDescent="0.3">
      <c r="A28" s="11" t="s">
        <v>46</v>
      </c>
      <c r="B28" s="19">
        <f>3267191/1000000</f>
        <v>3.267191</v>
      </c>
      <c r="C28" s="19">
        <f>2928482/1000000</f>
        <v>2.9284819999999998</v>
      </c>
      <c r="D28" s="19">
        <f>3185784/1000000</f>
        <v>3.1857839999999999</v>
      </c>
      <c r="E28" s="19">
        <f>2770049/1000000</f>
        <v>2.7700490000000002</v>
      </c>
      <c r="F28" s="19">
        <f>3572526/1000000</f>
        <v>3.5725259999999999</v>
      </c>
      <c r="G28" s="12">
        <f>3659914/1000000</f>
        <v>3.6599140000000001</v>
      </c>
      <c r="H28" s="12">
        <f>4020339/1000000</f>
        <v>4.0203389999999999</v>
      </c>
      <c r="I28" s="12">
        <f>4354191/1000000</f>
        <v>4.3541910000000001</v>
      </c>
      <c r="J28" s="12">
        <f>3025296/1000000</f>
        <v>3.025296</v>
      </c>
      <c r="K28" s="12">
        <f>3132198/1000000</f>
        <v>3.1321979999999998</v>
      </c>
      <c r="L28" s="12">
        <f>4889770/1000000</f>
        <v>4.8897700000000004</v>
      </c>
      <c r="M28" s="12">
        <f>5305858/1000000</f>
        <v>5.3058579999999997</v>
      </c>
      <c r="N28" s="12">
        <f>5337037/1000000</f>
        <v>5.3370369999999996</v>
      </c>
      <c r="O28" s="29">
        <f>5367508/1000000</f>
        <v>5.3675079999999999</v>
      </c>
      <c r="P28" s="19">
        <f>5469502/1000000</f>
        <v>5.4695020000000003</v>
      </c>
      <c r="R28" s="1"/>
    </row>
    <row r="29" spans="1:18" x14ac:dyDescent="0.3">
      <c r="A29" s="11" t="s">
        <v>33</v>
      </c>
      <c r="B29" s="36">
        <f>2831854/1000000</f>
        <v>2.8318539999999999</v>
      </c>
      <c r="C29" s="19">
        <f>2691430/1000000</f>
        <v>2.69143</v>
      </c>
      <c r="D29" s="19">
        <f>3088917/1000000</f>
        <v>3.0889169999999999</v>
      </c>
      <c r="E29" s="19">
        <f>2658859/1000000</f>
        <v>2.6588590000000001</v>
      </c>
      <c r="F29" s="19">
        <f>3305303/1000000</f>
        <v>3.3053029999999999</v>
      </c>
      <c r="G29" s="19">
        <f>3552465/1000000</f>
        <v>3.5524650000000002</v>
      </c>
      <c r="H29" s="19">
        <f>3610952/1000000</f>
        <v>3.6109520000000002</v>
      </c>
      <c r="I29" s="19">
        <f>4079236/1000000</f>
        <v>4.0792359999999999</v>
      </c>
      <c r="J29" s="19">
        <f>2873132/1000000</f>
        <v>2.873132</v>
      </c>
      <c r="K29" s="19">
        <f>3125778/1000000</f>
        <v>3.1257779999999999</v>
      </c>
      <c r="L29" s="29">
        <f>4574778/1000000</f>
        <v>4.5747780000000002</v>
      </c>
      <c r="M29" s="19">
        <f>4727323/1000000</f>
        <v>4.7273230000000002</v>
      </c>
      <c r="N29" s="19">
        <f>4457759/1000000</f>
        <v>4.4577590000000002</v>
      </c>
      <c r="O29" s="16"/>
      <c r="P29" s="16"/>
      <c r="R29" s="1"/>
    </row>
    <row r="30" spans="1:18" x14ac:dyDescent="0.3">
      <c r="A30" s="19" t="s">
        <v>31</v>
      </c>
      <c r="B30" s="76">
        <f>2235/1000000</f>
        <v>2.235E-3</v>
      </c>
      <c r="C30" s="19">
        <f>604170/1000000</f>
        <v>0.60416999999999998</v>
      </c>
      <c r="D30" s="19">
        <f>197011/1000000</f>
        <v>0.19701099999999999</v>
      </c>
      <c r="E30" s="19">
        <f>347987/1000000</f>
        <v>0.34798699999999999</v>
      </c>
      <c r="F30" s="19">
        <f>56657/1000000</f>
        <v>5.6656999999999999E-2</v>
      </c>
      <c r="G30" s="29">
        <f>89053/1000000</f>
        <v>8.9052999999999993E-2</v>
      </c>
      <c r="H30" s="29">
        <v>0</v>
      </c>
      <c r="I30" s="29">
        <f>33423/1000000</f>
        <v>3.3423000000000001E-2</v>
      </c>
      <c r="J30" s="29">
        <v>0</v>
      </c>
      <c r="K30" s="29">
        <v>0</v>
      </c>
      <c r="L30" s="29">
        <v>0</v>
      </c>
      <c r="M30" s="29">
        <f>12750/1000000</f>
        <v>1.2749999999999999E-2</v>
      </c>
      <c r="N30" s="19">
        <f>100000/1000000</f>
        <v>0.1</v>
      </c>
      <c r="O30" s="16"/>
      <c r="P30" s="16"/>
      <c r="R30" s="1"/>
    </row>
    <row r="31" spans="1:18" x14ac:dyDescent="0.3">
      <c r="A31" s="16" t="s">
        <v>32</v>
      </c>
      <c r="B31" s="16">
        <f>SUM(B29:B30)</f>
        <v>2.8340890000000001</v>
      </c>
      <c r="C31" s="16">
        <f>SUM(C29:C30)</f>
        <v>3.2955999999999999</v>
      </c>
      <c r="D31" s="16">
        <f>SUM(D29:D30)</f>
        <v>3.2859279999999997</v>
      </c>
      <c r="E31" s="16">
        <f>SUM(E29:E30)</f>
        <v>3.0068459999999999</v>
      </c>
      <c r="F31" s="16">
        <f>SUM(F29:F30)</f>
        <v>3.3619599999999998</v>
      </c>
      <c r="G31" s="16">
        <f t="shared" ref="G31:N31" si="5">SUM(G29:G30)</f>
        <v>3.641518</v>
      </c>
      <c r="H31" s="16">
        <f t="shared" si="5"/>
        <v>3.6109520000000002</v>
      </c>
      <c r="I31" s="16">
        <f t="shared" si="5"/>
        <v>4.1126589999999998</v>
      </c>
      <c r="J31" s="16">
        <f t="shared" si="5"/>
        <v>2.873132</v>
      </c>
      <c r="K31" s="16">
        <f t="shared" si="5"/>
        <v>3.1257779999999999</v>
      </c>
      <c r="L31" s="16">
        <f t="shared" si="5"/>
        <v>4.5747780000000002</v>
      </c>
      <c r="M31" s="16">
        <f t="shared" si="5"/>
        <v>4.7400729999999998</v>
      </c>
      <c r="N31" s="16">
        <f t="shared" si="5"/>
        <v>4.5577589999999999</v>
      </c>
      <c r="O31" s="16"/>
      <c r="P31" s="16"/>
      <c r="R31" s="1"/>
    </row>
    <row r="32" spans="1:18" x14ac:dyDescent="0.3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R32" s="1"/>
    </row>
    <row r="33" spans="1:18" ht="41.4" x14ac:dyDescent="0.3">
      <c r="A33" s="3" t="s">
        <v>20</v>
      </c>
      <c r="B33" s="44" t="s">
        <v>63</v>
      </c>
      <c r="C33" s="3"/>
      <c r="E33" s="1"/>
      <c r="F33" s="1"/>
      <c r="H33" s="3" t="s">
        <v>20</v>
      </c>
      <c r="N33" s="44" t="s">
        <v>50</v>
      </c>
      <c r="O33" s="44" t="s">
        <v>63</v>
      </c>
      <c r="P33" s="44" t="s">
        <v>64</v>
      </c>
      <c r="R33" s="1"/>
    </row>
    <row r="34" spans="1:18" ht="28.8" x14ac:dyDescent="0.3">
      <c r="A34" s="9" t="s">
        <v>46</v>
      </c>
      <c r="B34" s="37">
        <f>(19776546-1727264)/1000000</f>
        <v>18.049282000000002</v>
      </c>
      <c r="C34" s="37">
        <f>(17808164-1705132)/1000000</f>
        <v>16.103031999999999</v>
      </c>
      <c r="D34" s="37">
        <f>(21298526-1986950)/1000000</f>
        <v>19.311575999999999</v>
      </c>
      <c r="E34" s="37">
        <f>(24563216-1897765)/1000000</f>
        <v>22.665451000000001</v>
      </c>
      <c r="F34" s="37">
        <f>(25597395-2246144)/1000000</f>
        <v>23.351251000000001</v>
      </c>
      <c r="G34" s="37">
        <f>(26509219-2226892)/1000000</f>
        <v>24.282326999999999</v>
      </c>
      <c r="H34" s="37">
        <f>25671002/1000000</f>
        <v>25.671002000000001</v>
      </c>
      <c r="I34" s="37">
        <f>26923610/1000000</f>
        <v>26.92361</v>
      </c>
      <c r="J34" s="37">
        <f>27640064/1000000</f>
        <v>27.640063999999999</v>
      </c>
      <c r="K34" s="37">
        <f>30189444/1000000</f>
        <v>30.189444000000002</v>
      </c>
      <c r="L34" s="37">
        <f>29773936/1000000</f>
        <v>29.773935999999999</v>
      </c>
      <c r="M34" s="37">
        <f>32875887/1000000</f>
        <v>32.875886999999999</v>
      </c>
      <c r="N34" s="37">
        <f>35141515/1000000</f>
        <v>35.141514999999998</v>
      </c>
      <c r="O34" s="37">
        <f>(48173906-6504006)/1000000</f>
        <v>41.669899999999998</v>
      </c>
      <c r="P34" s="37">
        <f>(51640543-6678408)/1000000</f>
        <v>44.962135000000004</v>
      </c>
      <c r="Q34" s="20" t="s">
        <v>65</v>
      </c>
      <c r="R34" s="1"/>
    </row>
    <row r="35" spans="1:18" x14ac:dyDescent="0.3">
      <c r="A35" s="9" t="s">
        <v>33</v>
      </c>
      <c r="B35" s="37">
        <f>(18809435-1639082)/1000000</f>
        <v>17.170352999999999</v>
      </c>
      <c r="C35" s="34">
        <f>(17145023-1550978)/1000000</f>
        <v>15.594044999999999</v>
      </c>
      <c r="D35" s="34">
        <f>(21045202-1829724)/1000000</f>
        <v>19.215478000000001</v>
      </c>
      <c r="E35" s="34">
        <f>(24004992-2028350)/1000000</f>
        <v>21.976641999999998</v>
      </c>
      <c r="F35" s="34">
        <f>(25768170-2252981)/1000000</f>
        <v>23.515188999999999</v>
      </c>
      <c r="G35" s="34">
        <f>(27446809-2338350)/1000000</f>
        <v>25.108459</v>
      </c>
      <c r="H35" s="34">
        <f>26187642/1000000</f>
        <v>26.187642</v>
      </c>
      <c r="I35" s="34">
        <f>25879430/1000000</f>
        <v>25.879429999999999</v>
      </c>
      <c r="J35" s="34">
        <f>27061916/1000000</f>
        <v>27.061916</v>
      </c>
      <c r="K35" s="34">
        <f>27343633/1000000</f>
        <v>27.343633000000001</v>
      </c>
      <c r="L35" s="34">
        <f>28898351/1000000</f>
        <v>28.898351000000002</v>
      </c>
      <c r="M35" s="34">
        <f>32588892/1000000</f>
        <v>32.588892000000001</v>
      </c>
      <c r="N35" s="17">
        <f>37122901/1000000</f>
        <v>37.122900999999999</v>
      </c>
      <c r="O35" s="17"/>
      <c r="P35" s="17"/>
      <c r="Q35" s="25"/>
      <c r="R35" s="1"/>
    </row>
    <row r="36" spans="1:18" x14ac:dyDescent="0.3">
      <c r="A36" s="9" t="s">
        <v>31</v>
      </c>
      <c r="B36" s="35"/>
      <c r="C36" s="34"/>
      <c r="D36" s="68">
        <f>353185/1000000</f>
        <v>0.35318500000000003</v>
      </c>
      <c r="E36" s="34">
        <f>284130/1000000</f>
        <v>0.28412999999999999</v>
      </c>
      <c r="F36" s="34">
        <f>1202688/1000000</f>
        <v>1.202688</v>
      </c>
      <c r="G36" s="68">
        <f>142554/1000000</f>
        <v>0.14255399999999999</v>
      </c>
      <c r="H36" s="34">
        <f>178043/1000000</f>
        <v>0.17804300000000001</v>
      </c>
      <c r="I36" s="34">
        <v>0</v>
      </c>
      <c r="J36" s="68">
        <f>21500/1000000</f>
        <v>2.1499999999999998E-2</v>
      </c>
      <c r="K36" s="68">
        <f>382186/1000000</f>
        <v>0.38218600000000003</v>
      </c>
      <c r="L36" s="68">
        <f>236514/1000000</f>
        <v>0.236514</v>
      </c>
      <c r="M36" s="68">
        <f>173948/1000000</f>
        <v>0.17394799999999999</v>
      </c>
      <c r="N36" s="17">
        <v>0</v>
      </c>
      <c r="O36" s="17"/>
      <c r="P36" s="17"/>
      <c r="Q36" s="1" t="s">
        <v>44</v>
      </c>
      <c r="R36" s="1"/>
    </row>
    <row r="37" spans="1:18" x14ac:dyDescent="0.3">
      <c r="A37" s="10" t="s">
        <v>32</v>
      </c>
      <c r="B37" s="35">
        <f t="shared" ref="B37:H37" si="6">SUM(B35:B36)</f>
        <v>17.170352999999999</v>
      </c>
      <c r="C37" s="17">
        <f t="shared" si="6"/>
        <v>15.594044999999999</v>
      </c>
      <c r="D37" s="17">
        <f t="shared" si="6"/>
        <v>19.568663000000001</v>
      </c>
      <c r="E37" s="17">
        <f t="shared" si="6"/>
        <v>22.260771999999999</v>
      </c>
      <c r="F37" s="17">
        <f t="shared" si="6"/>
        <v>24.717876999999998</v>
      </c>
      <c r="G37" s="17">
        <f t="shared" si="6"/>
        <v>25.251013</v>
      </c>
      <c r="H37" s="55">
        <f t="shared" si="6"/>
        <v>26.365684999999999</v>
      </c>
      <c r="I37" s="55">
        <f t="shared" ref="I37:N37" si="7">SUM(I35:I36)</f>
        <v>25.879429999999999</v>
      </c>
      <c r="J37" s="55">
        <f>SUM(J35:J36)</f>
        <v>27.083416</v>
      </c>
      <c r="K37" s="55">
        <f t="shared" si="7"/>
        <v>27.725819000000001</v>
      </c>
      <c r="L37" s="55">
        <f t="shared" si="7"/>
        <v>29.134865000000001</v>
      </c>
      <c r="M37" s="55">
        <f t="shared" si="7"/>
        <v>32.762840000000004</v>
      </c>
      <c r="N37" s="55">
        <f t="shared" si="7"/>
        <v>37.122900999999999</v>
      </c>
      <c r="O37" s="55"/>
      <c r="P37" s="55"/>
      <c r="R37" s="1"/>
    </row>
    <row r="38" spans="1:18" x14ac:dyDescent="0.3">
      <c r="E38" s="1"/>
      <c r="I38" s="1"/>
      <c r="J38" s="1"/>
      <c r="K38" s="1"/>
      <c r="L38" s="1"/>
      <c r="M38" s="1"/>
      <c r="O38" s="1"/>
      <c r="P38" s="1"/>
      <c r="Q38" s="1"/>
    </row>
    <row r="39" spans="1:18" x14ac:dyDescent="0.3">
      <c r="E39" s="1"/>
      <c r="I39" s="1"/>
      <c r="J39" s="1"/>
      <c r="K39" s="1"/>
      <c r="L39" s="1"/>
      <c r="M39" s="1"/>
      <c r="O39" s="1"/>
      <c r="P39" s="1"/>
      <c r="Q39" s="1"/>
    </row>
    <row r="40" spans="1:18" x14ac:dyDescent="0.3">
      <c r="A40" s="88" t="s">
        <v>48</v>
      </c>
      <c r="B40" s="89"/>
      <c r="C40" s="89"/>
      <c r="D40" s="89"/>
      <c r="E40" s="90"/>
      <c r="F40" s="89"/>
      <c r="G40" s="89"/>
      <c r="H40" s="89"/>
      <c r="I40" s="90"/>
      <c r="J40" s="90"/>
      <c r="K40" s="90"/>
      <c r="L40" s="90"/>
      <c r="M40" s="90"/>
      <c r="N40" s="89"/>
      <c r="O40" s="91">
        <f>100000/1000000</f>
        <v>0.1</v>
      </c>
      <c r="P40" s="90"/>
      <c r="Q40" s="1" t="s">
        <v>49</v>
      </c>
    </row>
    <row r="41" spans="1:18" x14ac:dyDescent="0.3">
      <c r="E41" s="1"/>
      <c r="I41" s="1"/>
      <c r="J41" s="1"/>
      <c r="K41" s="1"/>
      <c r="L41" s="1"/>
      <c r="M41" s="1"/>
      <c r="O41" s="1"/>
      <c r="P41" s="1"/>
      <c r="Q41" s="1"/>
    </row>
    <row r="42" spans="1:18" x14ac:dyDescent="0.3">
      <c r="J42" s="1"/>
      <c r="O42" s="1"/>
      <c r="P42" s="1"/>
    </row>
    <row r="43" spans="1:18" x14ac:dyDescent="0.3">
      <c r="A43" s="3" t="s">
        <v>52</v>
      </c>
      <c r="B43" s="3"/>
      <c r="C43" s="3"/>
      <c r="J43" s="1"/>
      <c r="K43" s="1"/>
      <c r="L43" s="1"/>
      <c r="O43" s="1"/>
      <c r="P43" s="1"/>
    </row>
    <row r="44" spans="1:18" ht="28.8" x14ac:dyDescent="0.3">
      <c r="A44" s="13"/>
      <c r="B44" s="14">
        <v>467668512</v>
      </c>
      <c r="C44" s="14">
        <v>469964583</v>
      </c>
      <c r="D44" s="14">
        <v>522071736</v>
      </c>
      <c r="E44" s="14">
        <v>519905310</v>
      </c>
      <c r="F44" s="14">
        <v>545052401</v>
      </c>
      <c r="G44" s="14">
        <v>651781927</v>
      </c>
      <c r="H44" s="14">
        <v>595657700</v>
      </c>
      <c r="I44" s="14">
        <v>595869054</v>
      </c>
      <c r="J44" s="14">
        <v>615769128</v>
      </c>
      <c r="K44" s="78">
        <v>646086182</v>
      </c>
      <c r="L44" s="14">
        <v>697390290</v>
      </c>
      <c r="M44" s="14">
        <v>746257975</v>
      </c>
      <c r="N44" s="14">
        <v>846783645</v>
      </c>
      <c r="O44" s="14">
        <v>830790328</v>
      </c>
      <c r="P44" s="14">
        <v>880678151</v>
      </c>
      <c r="Q44" s="20" t="s">
        <v>43</v>
      </c>
    </row>
    <row r="45" spans="1:18" ht="28.8" x14ac:dyDescent="0.3">
      <c r="A45" s="15" t="s">
        <v>52</v>
      </c>
      <c r="B45" s="30">
        <f t="shared" ref="B45:O45" si="8">SUM(B44:B44)/1000000</f>
        <v>467.66851200000002</v>
      </c>
      <c r="C45" s="30">
        <f t="shared" si="8"/>
        <v>469.964583</v>
      </c>
      <c r="D45" s="30">
        <f t="shared" si="8"/>
        <v>522.07173599999999</v>
      </c>
      <c r="E45" s="30">
        <f t="shared" si="8"/>
        <v>519.90530999999999</v>
      </c>
      <c r="F45" s="30">
        <f>SUM(F44:F44)/1000000</f>
        <v>545.05240100000003</v>
      </c>
      <c r="G45" s="30">
        <f>SUM(G44:G44)/1000000</f>
        <v>651.781927</v>
      </c>
      <c r="H45" s="30">
        <f t="shared" si="8"/>
        <v>595.65769999999998</v>
      </c>
      <c r="I45" s="30">
        <f t="shared" si="8"/>
        <v>595.86905400000001</v>
      </c>
      <c r="J45" s="30">
        <f t="shared" si="8"/>
        <v>615.76912800000002</v>
      </c>
      <c r="K45" s="30">
        <f t="shared" si="8"/>
        <v>646.08618200000001</v>
      </c>
      <c r="L45" s="30">
        <f t="shared" si="8"/>
        <v>697.39029000000005</v>
      </c>
      <c r="M45" s="70">
        <f t="shared" si="8"/>
        <v>746.25797499999999</v>
      </c>
      <c r="N45" s="30">
        <f>SUM(N44:N44)/1000000</f>
        <v>846.78364499999998</v>
      </c>
      <c r="O45" s="30">
        <f t="shared" si="8"/>
        <v>830.79032800000004</v>
      </c>
      <c r="P45" s="30">
        <f>SUM(P44:P44)/1000000</f>
        <v>880.67815099999996</v>
      </c>
      <c r="Q45" s="20" t="s">
        <v>66</v>
      </c>
    </row>
    <row r="46" spans="1:18" x14ac:dyDescent="0.3">
      <c r="A46" s="15" t="s">
        <v>38</v>
      </c>
      <c r="B46" s="82">
        <f>452335000/1000000</f>
        <v>452.33499999999998</v>
      </c>
      <c r="C46" s="82">
        <f>461109000/1000000</f>
        <v>461.10899999999998</v>
      </c>
      <c r="D46" s="82">
        <f>540123000/1000000</f>
        <v>540.12300000000005</v>
      </c>
      <c r="E46" s="82">
        <f>507265000/1000000</f>
        <v>507.26499999999999</v>
      </c>
      <c r="F46" s="82">
        <f>510232000/1000000</f>
        <v>510.23200000000003</v>
      </c>
      <c r="G46" s="30">
        <f>596072000/1000000</f>
        <v>596.072</v>
      </c>
      <c r="H46" s="30">
        <f>557183000/1000000</f>
        <v>557.18299999999999</v>
      </c>
      <c r="I46" s="30">
        <f>587090738/1000000</f>
        <v>587.09073799999999</v>
      </c>
      <c r="J46" s="30">
        <f>590168515/1000000</f>
        <v>590.16851499999996</v>
      </c>
      <c r="K46" s="30">
        <f>641866861/1000000</f>
        <v>641.86686099999997</v>
      </c>
      <c r="L46" s="30">
        <f>685589025/1000000</f>
        <v>685.58902499999999</v>
      </c>
      <c r="M46" s="33">
        <f>745306/1000</f>
        <v>745.30600000000004</v>
      </c>
      <c r="N46" s="30">
        <f>715059/1000</f>
        <v>715.05899999999997</v>
      </c>
      <c r="O46" s="30"/>
      <c r="P46" s="45"/>
      <c r="Q46" s="26"/>
    </row>
    <row r="47" spans="1:18" x14ac:dyDescent="0.3">
      <c r="B47" s="26"/>
      <c r="C47" s="26"/>
      <c r="D47" s="26"/>
      <c r="E47" s="26"/>
      <c r="F47" s="25"/>
    </row>
    <row r="48" spans="1:18" x14ac:dyDescent="0.3">
      <c r="B48" s="26"/>
      <c r="C48" s="26"/>
      <c r="D48" s="26"/>
      <c r="E48" s="26"/>
      <c r="F48" s="26"/>
    </row>
    <row r="49" spans="1:18" x14ac:dyDescent="0.3">
      <c r="A49" s="3" t="s">
        <v>30</v>
      </c>
      <c r="G49" s="59"/>
      <c r="H49" s="26"/>
      <c r="L49" s="25"/>
      <c r="M49" s="1"/>
      <c r="N49" s="71"/>
    </row>
    <row r="50" spans="1:18" x14ac:dyDescent="0.3">
      <c r="A50" s="52" t="s">
        <v>46</v>
      </c>
      <c r="B50" s="53">
        <f>61000/1000000</f>
        <v>6.0999999999999999E-2</v>
      </c>
      <c r="C50" s="53">
        <f>61000/1000000</f>
        <v>6.0999999999999999E-2</v>
      </c>
      <c r="D50" s="53">
        <f>61000/1000000</f>
        <v>6.0999999999999999E-2</v>
      </c>
      <c r="E50" s="53">
        <f t="shared" ref="E50:O50" si="9">50500/1000000</f>
        <v>5.0500000000000003E-2</v>
      </c>
      <c r="F50" s="53">
        <f t="shared" si="9"/>
        <v>5.0500000000000003E-2</v>
      </c>
      <c r="G50" s="53">
        <f t="shared" si="9"/>
        <v>5.0500000000000003E-2</v>
      </c>
      <c r="H50" s="53">
        <f t="shared" si="9"/>
        <v>5.0500000000000003E-2</v>
      </c>
      <c r="I50" s="53">
        <f t="shared" si="9"/>
        <v>5.0500000000000003E-2</v>
      </c>
      <c r="J50" s="53">
        <f t="shared" si="9"/>
        <v>5.0500000000000003E-2</v>
      </c>
      <c r="K50" s="53">
        <f t="shared" si="9"/>
        <v>5.0500000000000003E-2</v>
      </c>
      <c r="L50" s="53">
        <f t="shared" si="9"/>
        <v>5.0500000000000003E-2</v>
      </c>
      <c r="M50" s="53">
        <f t="shared" si="9"/>
        <v>5.0500000000000003E-2</v>
      </c>
      <c r="N50" s="53">
        <f>50500/1000000</f>
        <v>5.0500000000000003E-2</v>
      </c>
      <c r="O50" s="53">
        <f t="shared" si="9"/>
        <v>5.0500000000000003E-2</v>
      </c>
      <c r="P50" s="53">
        <f>50500/1000000</f>
        <v>5.0500000000000003E-2</v>
      </c>
    </row>
    <row r="51" spans="1:18" x14ac:dyDescent="0.3">
      <c r="A51" s="52" t="s">
        <v>69</v>
      </c>
      <c r="B51" s="69">
        <f>59028/1000000</f>
        <v>5.9027999999999997E-2</v>
      </c>
      <c r="C51" s="69">
        <f>48891/1000000</f>
        <v>4.8890999999999997E-2</v>
      </c>
      <c r="D51" s="69">
        <f>42427/1000000</f>
        <v>4.2426999999999999E-2</v>
      </c>
      <c r="E51" s="69">
        <f>44450/1000000</f>
        <v>4.4450000000000003E-2</v>
      </c>
      <c r="F51" s="69">
        <f>48892/1000000</f>
        <v>4.8891999999999998E-2</v>
      </c>
      <c r="G51" s="69">
        <f>30969/1000000</f>
        <v>3.0969E-2</v>
      </c>
      <c r="H51" s="69">
        <f>50245/1000000</f>
        <v>5.0244999999999998E-2</v>
      </c>
      <c r="I51" s="69">
        <f>49213/1000000</f>
        <v>4.9213E-2</v>
      </c>
      <c r="J51" s="69">
        <f>49355/1000000</f>
        <v>4.9355000000000003E-2</v>
      </c>
      <c r="K51" s="69">
        <f>46524/1000000</f>
        <v>4.6524000000000003E-2</v>
      </c>
      <c r="L51" s="69">
        <f>50127/1000000</f>
        <v>5.0126999999999998E-2</v>
      </c>
      <c r="M51" s="69">
        <f>47597/1000000</f>
        <v>4.7597E-2</v>
      </c>
      <c r="N51" s="69">
        <f>31988/1000000</f>
        <v>3.1988000000000003E-2</v>
      </c>
      <c r="O51" s="52"/>
      <c r="P51" s="52"/>
    </row>
    <row r="55" spans="1:18" x14ac:dyDescent="0.3">
      <c r="A55" s="22"/>
      <c r="B55" s="22">
        <v>2008</v>
      </c>
      <c r="C55" s="22">
        <v>2009</v>
      </c>
      <c r="D55" s="22">
        <v>2010</v>
      </c>
      <c r="E55" s="22">
        <v>2011</v>
      </c>
      <c r="F55" s="22">
        <v>2012</v>
      </c>
      <c r="G55" s="22">
        <v>2013</v>
      </c>
      <c r="H55" s="22">
        <v>2014</v>
      </c>
      <c r="I55" s="22">
        <v>2015</v>
      </c>
      <c r="J55" s="22">
        <v>2016</v>
      </c>
      <c r="K55" s="22">
        <v>2017</v>
      </c>
      <c r="L55" s="22">
        <v>2018</v>
      </c>
      <c r="M55" s="22">
        <v>2019</v>
      </c>
      <c r="N55" s="22">
        <v>2020</v>
      </c>
      <c r="O55" s="22">
        <v>2021</v>
      </c>
      <c r="P55" s="22">
        <v>2022</v>
      </c>
      <c r="Q55" t="s">
        <v>68</v>
      </c>
    </row>
    <row r="56" spans="1:18" x14ac:dyDescent="0.3">
      <c r="A56" s="86" t="s">
        <v>14</v>
      </c>
      <c r="B56" s="86">
        <v>63.59</v>
      </c>
      <c r="C56" s="87">
        <v>61.72</v>
      </c>
      <c r="D56" s="87">
        <v>61.9</v>
      </c>
      <c r="E56" s="87">
        <v>61.61</v>
      </c>
      <c r="F56" s="87">
        <v>61.14</v>
      </c>
      <c r="G56" s="87">
        <v>62.559242249</v>
      </c>
      <c r="H56" s="87">
        <v>65.38</v>
      </c>
      <c r="I56" s="87">
        <v>65.87</v>
      </c>
      <c r="J56" s="87">
        <v>65.87</v>
      </c>
      <c r="K56" s="87">
        <v>74.038459778000004</v>
      </c>
      <c r="L56" s="87">
        <v>75</v>
      </c>
      <c r="M56" s="87">
        <v>73.076919556000007</v>
      </c>
      <c r="N56" s="86">
        <v>76.92</v>
      </c>
      <c r="O56" s="86">
        <v>72.12</v>
      </c>
      <c r="P56" s="86"/>
      <c r="Q56" s="21" t="s">
        <v>16</v>
      </c>
    </row>
    <row r="57" spans="1:18" x14ac:dyDescent="0.3">
      <c r="A57" s="86" t="s">
        <v>15</v>
      </c>
      <c r="B57" s="86" t="s">
        <v>17</v>
      </c>
      <c r="C57" s="86" t="s">
        <v>17</v>
      </c>
      <c r="D57" s="86" t="s">
        <v>17</v>
      </c>
      <c r="E57" s="86" t="s">
        <v>17</v>
      </c>
      <c r="F57" s="86" t="s">
        <v>17</v>
      </c>
      <c r="G57" s="86" t="s">
        <v>17</v>
      </c>
      <c r="H57" s="86" t="s">
        <v>17</v>
      </c>
      <c r="I57" s="86" t="s">
        <v>17</v>
      </c>
      <c r="J57" s="86" t="s">
        <v>17</v>
      </c>
      <c r="K57" s="86" t="s">
        <v>17</v>
      </c>
      <c r="L57" s="86" t="s">
        <v>17</v>
      </c>
      <c r="M57" s="86" t="s">
        <v>17</v>
      </c>
      <c r="N57" s="86" t="s">
        <v>17</v>
      </c>
      <c r="O57" s="86"/>
      <c r="P57" s="86"/>
    </row>
    <row r="59" spans="1:18" x14ac:dyDescent="0.3">
      <c r="P59" s="1"/>
      <c r="Q59" s="1"/>
      <c r="R59" s="1"/>
    </row>
    <row r="60" spans="1:18" x14ac:dyDescent="0.3">
      <c r="P60" s="1"/>
      <c r="Q60" s="1"/>
      <c r="R60" s="1"/>
    </row>
    <row r="61" spans="1:18" x14ac:dyDescent="0.3">
      <c r="A61" s="3" t="s">
        <v>18</v>
      </c>
      <c r="B61" s="3"/>
      <c r="C61" s="3"/>
      <c r="P61" s="1"/>
      <c r="Q61" s="1"/>
      <c r="R61" s="1"/>
    </row>
    <row r="62" spans="1:18" x14ac:dyDescent="0.3">
      <c r="A62" s="23"/>
      <c r="B62" s="22">
        <v>2008</v>
      </c>
      <c r="C62" s="22">
        <v>2009</v>
      </c>
      <c r="D62" s="22">
        <v>2010</v>
      </c>
      <c r="E62" s="22">
        <v>2011</v>
      </c>
      <c r="F62" s="22">
        <v>2012</v>
      </c>
      <c r="G62" s="22">
        <v>2013</v>
      </c>
      <c r="H62" s="22">
        <v>2014</v>
      </c>
      <c r="I62" s="22">
        <v>2015</v>
      </c>
      <c r="J62" s="22">
        <v>2016</v>
      </c>
      <c r="K62" s="22">
        <v>2017</v>
      </c>
      <c r="L62" s="22">
        <v>2018</v>
      </c>
      <c r="M62" s="22">
        <v>2019</v>
      </c>
      <c r="N62" s="22">
        <v>2020</v>
      </c>
      <c r="O62" s="22">
        <v>2021</v>
      </c>
      <c r="P62" s="22">
        <v>2022</v>
      </c>
      <c r="Q62" s="21"/>
    </row>
    <row r="63" spans="1:18" x14ac:dyDescent="0.3">
      <c r="A63" s="22" t="s">
        <v>19</v>
      </c>
      <c r="B63" s="22">
        <v>86.908000000000001</v>
      </c>
      <c r="C63" s="22">
        <v>99.632999999999996</v>
      </c>
      <c r="D63" s="22">
        <v>99.433000000000007</v>
      </c>
      <c r="E63" s="22">
        <v>102.292</v>
      </c>
      <c r="F63" s="22">
        <v>108.625</v>
      </c>
      <c r="G63" s="22">
        <v>108.4</v>
      </c>
      <c r="H63" s="22">
        <v>107.05800000000001</v>
      </c>
      <c r="I63" s="22">
        <v>109.117</v>
      </c>
      <c r="J63" s="22">
        <v>109.259</v>
      </c>
      <c r="K63" s="22">
        <v>110.67700000000001</v>
      </c>
      <c r="L63" s="22">
        <v>114.741</v>
      </c>
      <c r="M63" s="24">
        <v>117.25700000000001</v>
      </c>
      <c r="N63" s="24">
        <v>118.999</v>
      </c>
      <c r="O63" s="24">
        <v>115.40600000000001</v>
      </c>
      <c r="P63" s="24">
        <v>124.98399999999999</v>
      </c>
      <c r="Q63" s="93" t="s">
        <v>28</v>
      </c>
    </row>
    <row r="64" spans="1:18" x14ac:dyDescent="0.3">
      <c r="A64" s="22" t="s">
        <v>56</v>
      </c>
      <c r="B64" s="24">
        <f>B63/$P$63</f>
        <v>0.6953530051846637</v>
      </c>
      <c r="C64" s="24">
        <f t="shared" ref="C64:P64" si="10">C63/$P$63</f>
        <v>0.79716603725276836</v>
      </c>
      <c r="D64" s="24">
        <f t="shared" si="10"/>
        <v>0.79556583242655066</v>
      </c>
      <c r="E64" s="24">
        <f t="shared" si="10"/>
        <v>0.81844076041733349</v>
      </c>
      <c r="F64" s="24">
        <f t="shared" si="10"/>
        <v>0.86911124623951874</v>
      </c>
      <c r="G64" s="24">
        <f t="shared" si="10"/>
        <v>0.86731101581002379</v>
      </c>
      <c r="H64" s="24">
        <f t="shared" si="10"/>
        <v>0.85657364142610259</v>
      </c>
      <c r="I64" s="24">
        <f t="shared" si="10"/>
        <v>0.87304775011201441</v>
      </c>
      <c r="J64" s="24">
        <f t="shared" si="10"/>
        <v>0.87418389553862896</v>
      </c>
      <c r="K64" s="24">
        <f t="shared" si="10"/>
        <v>0.88552934775651293</v>
      </c>
      <c r="L64" s="24">
        <f t="shared" si="10"/>
        <v>0.91804550982525768</v>
      </c>
      <c r="M64" s="24">
        <f t="shared" si="10"/>
        <v>0.93817608653907714</v>
      </c>
      <c r="N64" s="24">
        <f t="shared" si="10"/>
        <v>0.95211387057543362</v>
      </c>
      <c r="O64" s="24">
        <f t="shared" si="10"/>
        <v>0.92336619087243177</v>
      </c>
      <c r="P64" s="24">
        <f t="shared" si="10"/>
        <v>1</v>
      </c>
      <c r="Q64" s="93"/>
    </row>
    <row r="65" spans="1:17" x14ac:dyDescent="0.3">
      <c r="A65" s="3"/>
      <c r="B65" s="3"/>
      <c r="C65" s="3"/>
      <c r="Q65" s="85">
        <v>44652</v>
      </c>
    </row>
    <row r="67" spans="1:17" x14ac:dyDescent="0.3">
      <c r="A67" s="3" t="s">
        <v>62</v>
      </c>
      <c r="B67" s="3"/>
      <c r="C67" s="3"/>
    </row>
    <row r="68" spans="1:17" x14ac:dyDescent="0.3">
      <c r="A68" s="5"/>
      <c r="B68" s="4" t="s">
        <v>23</v>
      </c>
      <c r="C68" s="4" t="s">
        <v>22</v>
      </c>
      <c r="D68" s="4" t="s">
        <v>11</v>
      </c>
      <c r="E68" s="4" t="s">
        <v>10</v>
      </c>
      <c r="F68" s="4" t="s">
        <v>9</v>
      </c>
      <c r="G68" s="4" t="s">
        <v>8</v>
      </c>
      <c r="H68" s="4" t="s">
        <v>5</v>
      </c>
      <c r="I68" s="4" t="s">
        <v>6</v>
      </c>
      <c r="J68" s="4" t="s">
        <v>7</v>
      </c>
      <c r="K68" s="4" t="s">
        <v>4</v>
      </c>
      <c r="L68" s="4" t="s">
        <v>3</v>
      </c>
      <c r="M68" s="4" t="s">
        <v>2</v>
      </c>
      <c r="N68" s="4" t="s">
        <v>1</v>
      </c>
      <c r="O68" s="4" t="s">
        <v>21</v>
      </c>
      <c r="P68" s="4" t="s">
        <v>27</v>
      </c>
    </row>
    <row r="69" spans="1:17" x14ac:dyDescent="0.3">
      <c r="A69" s="4" t="s">
        <v>39</v>
      </c>
      <c r="B69" s="74">
        <f t="shared" ref="B69:P69" si="11">B7/B64</f>
        <v>0.77280603663644309</v>
      </c>
      <c r="C69" s="74">
        <f t="shared" si="11"/>
        <v>0.62898188905282393</v>
      </c>
      <c r="D69" s="74">
        <f t="shared" si="11"/>
        <v>0.77430298649341767</v>
      </c>
      <c r="E69" s="74">
        <f t="shared" si="11"/>
        <v>0.85109519673092715</v>
      </c>
      <c r="F69" s="74">
        <f t="shared" si="11"/>
        <v>0.88186179078481008</v>
      </c>
      <c r="G69" s="74">
        <f t="shared" si="11"/>
        <v>0.79173789734317335</v>
      </c>
      <c r="H69" s="74">
        <f t="shared" si="11"/>
        <v>1.0716159774327934</v>
      </c>
      <c r="I69" s="74">
        <f t="shared" si="11"/>
        <v>1.2334285265174079</v>
      </c>
      <c r="J69" s="74">
        <f t="shared" si="11"/>
        <v>1.4278711909133344</v>
      </c>
      <c r="K69" s="74">
        <f t="shared" si="11"/>
        <v>1.4117849432854161</v>
      </c>
      <c r="L69" s="74">
        <f t="shared" si="11"/>
        <v>1.3522837230981077</v>
      </c>
      <c r="M69" s="74">
        <f t="shared" si="11"/>
        <v>1.4276797492687001</v>
      </c>
      <c r="N69" s="74">
        <f t="shared" si="11"/>
        <v>1.804252677215775</v>
      </c>
      <c r="O69" s="74">
        <f t="shared" si="11"/>
        <v>1.7563606032268684</v>
      </c>
      <c r="P69" s="74">
        <f t="shared" si="11"/>
        <v>1.7918240000000001</v>
      </c>
      <c r="Q69" s="79"/>
    </row>
    <row r="70" spans="1:17" x14ac:dyDescent="0.3">
      <c r="A70" s="4" t="s">
        <v>41</v>
      </c>
      <c r="B70" s="74">
        <f t="shared" ref="B70:N70" si="12">B11/B64</f>
        <v>0.81726403102130984</v>
      </c>
      <c r="C70" s="74">
        <f t="shared" si="12"/>
        <v>0.60499817787279309</v>
      </c>
      <c r="D70" s="74">
        <f t="shared" si="12"/>
        <v>0.77734233270644537</v>
      </c>
      <c r="E70" s="74">
        <f t="shared" si="12"/>
        <v>0.81337346842372804</v>
      </c>
      <c r="F70" s="74">
        <f t="shared" si="12"/>
        <v>0.86277332533026463</v>
      </c>
      <c r="G70" s="74">
        <f t="shared" si="12"/>
        <v>0.97560619498154966</v>
      </c>
      <c r="H70" s="74">
        <f t="shared" si="12"/>
        <v>1.0180362292589062</v>
      </c>
      <c r="I70" s="74">
        <f t="shared" si="12"/>
        <v>1.2063131711465673</v>
      </c>
      <c r="J70" s="74">
        <f t="shared" si="12"/>
        <v>1.3502811090711064</v>
      </c>
      <c r="K70" s="74">
        <f t="shared" si="12"/>
        <v>1.266501220813719</v>
      </c>
      <c r="L70" s="74">
        <f t="shared" si="12"/>
        <v>1.3930790862899922</v>
      </c>
      <c r="M70" s="74">
        <f t="shared" si="12"/>
        <v>1.4177786228881855</v>
      </c>
      <c r="N70" s="74">
        <f t="shared" si="12"/>
        <v>1.844385481894806</v>
      </c>
      <c r="O70" s="74"/>
      <c r="P70" s="74"/>
      <c r="Q70" s="81"/>
    </row>
    <row r="71" spans="1:17" x14ac:dyDescent="0.3">
      <c r="A71" s="2" t="s">
        <v>40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1</v>
      </c>
      <c r="P71" s="2">
        <v>0</v>
      </c>
    </row>
    <row r="75" spans="1:17" x14ac:dyDescent="0.3">
      <c r="A75" s="3" t="s">
        <v>61</v>
      </c>
      <c r="B75" s="3"/>
      <c r="C75" s="3"/>
    </row>
    <row r="76" spans="1:17" x14ac:dyDescent="0.3">
      <c r="A76" s="7"/>
      <c r="B76" s="7" t="s">
        <v>23</v>
      </c>
      <c r="C76" s="7" t="s">
        <v>22</v>
      </c>
      <c r="D76" s="7" t="s">
        <v>11</v>
      </c>
      <c r="E76" s="7" t="s">
        <v>10</v>
      </c>
      <c r="F76" s="7" t="s">
        <v>9</v>
      </c>
      <c r="G76" s="7" t="s">
        <v>8</v>
      </c>
      <c r="H76" s="7" t="s">
        <v>5</v>
      </c>
      <c r="I76" s="7" t="s">
        <v>6</v>
      </c>
      <c r="J76" s="7" t="s">
        <v>7</v>
      </c>
      <c r="K76" s="7" t="s">
        <v>4</v>
      </c>
      <c r="L76" s="7" t="s">
        <v>3</v>
      </c>
      <c r="M76" s="7" t="s">
        <v>2</v>
      </c>
      <c r="N76" s="7" t="s">
        <v>1</v>
      </c>
      <c r="O76" s="7" t="s">
        <v>21</v>
      </c>
      <c r="P76" s="7" t="s">
        <v>27</v>
      </c>
    </row>
    <row r="77" spans="1:17" x14ac:dyDescent="0.3">
      <c r="A77" s="7" t="s">
        <v>39</v>
      </c>
      <c r="B77" s="40">
        <f t="shared" ref="B77:P77" si="13">B16/B64</f>
        <v>3.9109459220324938</v>
      </c>
      <c r="C77" s="40">
        <f t="shared" si="13"/>
        <v>3.2452586777473331</v>
      </c>
      <c r="D77" s="40">
        <f t="shared" si="13"/>
        <v>3.4831812617541456</v>
      </c>
      <c r="E77" s="40">
        <f t="shared" si="13"/>
        <v>3.811595354084385</v>
      </c>
      <c r="F77" s="40">
        <f t="shared" si="13"/>
        <v>3.8447287553325658</v>
      </c>
      <c r="G77" s="40">
        <f t="shared" si="13"/>
        <v>3.7655350162361616</v>
      </c>
      <c r="H77" s="40">
        <f t="shared" si="13"/>
        <v>4.055036055297129</v>
      </c>
      <c r="I77" s="40">
        <f t="shared" si="13"/>
        <v>4.1563236369768228</v>
      </c>
      <c r="J77" s="40">
        <f t="shared" si="13"/>
        <v>4.0175528489186245</v>
      </c>
      <c r="K77" s="40">
        <f t="shared" si="13"/>
        <v>4.1291155502227195</v>
      </c>
      <c r="L77" s="40">
        <f t="shared" si="13"/>
        <v>4.2511443694581708</v>
      </c>
      <c r="M77" s="40">
        <f t="shared" si="13"/>
        <v>4.3165585417331158</v>
      </c>
      <c r="N77" s="40">
        <f t="shared" si="13"/>
        <v>4.3240531697241149</v>
      </c>
      <c r="O77" s="40">
        <f t="shared" si="13"/>
        <v>4.6019802782524302</v>
      </c>
      <c r="P77" s="40">
        <f t="shared" si="13"/>
        <v>4.1484040000000002</v>
      </c>
      <c r="Q77" s="79"/>
    </row>
    <row r="78" spans="1:17" x14ac:dyDescent="0.3">
      <c r="A78" s="7" t="s">
        <v>41</v>
      </c>
      <c r="B78" s="40">
        <f t="shared" ref="B78:N78" si="14">B19/B64</f>
        <v>3.806456548349979</v>
      </c>
      <c r="C78" s="40">
        <f t="shared" si="14"/>
        <v>3.0890101747011536</v>
      </c>
      <c r="D78" s="40">
        <f t="shared" si="14"/>
        <v>3.4063818348435628</v>
      </c>
      <c r="E78" s="40">
        <f t="shared" si="14"/>
        <v>3.0609985733390683</v>
      </c>
      <c r="F78" s="40">
        <f t="shared" si="14"/>
        <v>3.6160652777169155</v>
      </c>
      <c r="G78" s="40">
        <f t="shared" si="14"/>
        <v>3.7723099791881913</v>
      </c>
      <c r="H78" s="40">
        <f t="shared" si="14"/>
        <v>3.8725111765958635</v>
      </c>
      <c r="I78" s="40">
        <f t="shared" si="14"/>
        <v>3.7366936683376557</v>
      </c>
      <c r="J78" s="40">
        <f t="shared" si="14"/>
        <v>3.8268149494320829</v>
      </c>
      <c r="K78" s="40">
        <f t="shared" si="14"/>
        <v>4.0324298782944963</v>
      </c>
      <c r="L78" s="40">
        <f t="shared" si="14"/>
        <v>4.0162703924142198</v>
      </c>
      <c r="M78" s="40">
        <f t="shared" si="14"/>
        <v>4.1709185046862869</v>
      </c>
      <c r="N78" s="40">
        <f t="shared" si="14"/>
        <v>3.7627484597349556</v>
      </c>
      <c r="O78" s="75"/>
      <c r="P78" s="75"/>
    </row>
    <row r="79" spans="1:17" x14ac:dyDescent="0.3">
      <c r="A79" s="2" t="s">
        <v>40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1</v>
      </c>
      <c r="P79" s="2">
        <v>0</v>
      </c>
    </row>
    <row r="83" spans="1:18" x14ac:dyDescent="0.3">
      <c r="A83" s="3" t="s">
        <v>60</v>
      </c>
    </row>
    <row r="84" spans="1:18" x14ac:dyDescent="0.3">
      <c r="A84" s="39"/>
      <c r="B84" s="39" t="s">
        <v>23</v>
      </c>
      <c r="C84" s="39" t="s">
        <v>22</v>
      </c>
      <c r="D84" s="39" t="s">
        <v>11</v>
      </c>
      <c r="E84" s="39" t="s">
        <v>10</v>
      </c>
      <c r="F84" s="39" t="s">
        <v>9</v>
      </c>
      <c r="G84" s="39" t="s">
        <v>8</v>
      </c>
      <c r="H84" s="39" t="s">
        <v>5</v>
      </c>
      <c r="I84" s="39" t="s">
        <v>6</v>
      </c>
      <c r="J84" s="39" t="s">
        <v>7</v>
      </c>
      <c r="K84" s="39" t="s">
        <v>4</v>
      </c>
      <c r="L84" s="39" t="s">
        <v>3</v>
      </c>
      <c r="M84" s="39" t="s">
        <v>2</v>
      </c>
      <c r="N84" s="39" t="s">
        <v>1</v>
      </c>
      <c r="O84" s="39" t="s">
        <v>21</v>
      </c>
      <c r="P84" s="39" t="s">
        <v>27</v>
      </c>
    </row>
    <row r="85" spans="1:18" x14ac:dyDescent="0.3">
      <c r="A85" s="39" t="s">
        <v>39</v>
      </c>
      <c r="B85" s="41">
        <f t="shared" ref="B85:P85" si="15">B22/B64</f>
        <v>4.325233338426842</v>
      </c>
      <c r="C85" s="41">
        <f t="shared" si="15"/>
        <v>3.2896496808085671</v>
      </c>
      <c r="D85" s="41">
        <f t="shared" si="15"/>
        <v>3.7678126407932977</v>
      </c>
      <c r="E85" s="41">
        <f t="shared" si="15"/>
        <v>3.9737695839361824</v>
      </c>
      <c r="F85" s="41">
        <f t="shared" si="15"/>
        <v>4.1385173826283079</v>
      </c>
      <c r="G85" s="41">
        <f t="shared" si="15"/>
        <v>4.3806949649446487</v>
      </c>
      <c r="H85" s="41">
        <f t="shared" si="15"/>
        <v>5.1391016336565221</v>
      </c>
      <c r="I85" s="41">
        <f t="shared" si="15"/>
        <v>5.428342263515308</v>
      </c>
      <c r="J85" s="41">
        <f t="shared" si="15"/>
        <v>5.3012987583631555</v>
      </c>
      <c r="K85" s="41">
        <f t="shared" si="15"/>
        <v>5.5764340419780076</v>
      </c>
      <c r="L85" s="41">
        <f t="shared" si="15"/>
        <v>5.2713813729355676</v>
      </c>
      <c r="M85" s="41">
        <f t="shared" si="15"/>
        <v>5.3197870544871515</v>
      </c>
      <c r="N85" s="41">
        <f t="shared" si="15"/>
        <v>5.4142273937091909</v>
      </c>
      <c r="O85" s="41">
        <f t="shared" si="15"/>
        <v>9.232832092265566</v>
      </c>
      <c r="P85" s="41">
        <f t="shared" si="15"/>
        <v>8.7884309999999992</v>
      </c>
      <c r="Q85" s="59"/>
    </row>
    <row r="86" spans="1:18" x14ac:dyDescent="0.3">
      <c r="A86" s="39" t="s">
        <v>41</v>
      </c>
      <c r="B86" s="41">
        <f t="shared" ref="B86:N86" si="16">B25/B64</f>
        <v>3.9603553583099367</v>
      </c>
      <c r="C86" s="41">
        <f t="shared" si="16"/>
        <v>3.1373815279676411</v>
      </c>
      <c r="D86" s="41">
        <f t="shared" si="16"/>
        <v>3.8058886852453409</v>
      </c>
      <c r="E86" s="41">
        <f t="shared" si="16"/>
        <v>3.9383644557932191</v>
      </c>
      <c r="F86" s="41">
        <f t="shared" si="16"/>
        <v>4.109517642826237</v>
      </c>
      <c r="G86" s="41">
        <f t="shared" si="16"/>
        <v>4.4636824961623613</v>
      </c>
      <c r="H86" s="41">
        <f t="shared" si="16"/>
        <v>4.8593661988828485</v>
      </c>
      <c r="I86" s="41">
        <f t="shared" si="16"/>
        <v>5.1955016199492281</v>
      </c>
      <c r="J86" s="41">
        <f t="shared" si="16"/>
        <v>5.2518686553601999</v>
      </c>
      <c r="K86" s="41">
        <f t="shared" si="16"/>
        <v>5.4422611878529414</v>
      </c>
      <c r="L86" s="41">
        <f t="shared" si="16"/>
        <v>5.2837979687121432</v>
      </c>
      <c r="M86" s="41">
        <f t="shared" si="16"/>
        <v>5.3350421864451576</v>
      </c>
      <c r="N86" s="41">
        <f t="shared" si="16"/>
        <v>5.2779989403608436</v>
      </c>
      <c r="O86" s="41"/>
      <c r="P86" s="41"/>
      <c r="R86" s="79"/>
    </row>
    <row r="87" spans="1:18" x14ac:dyDescent="0.3">
      <c r="A87" s="2" t="s">
        <v>40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1</v>
      </c>
      <c r="P87" s="2">
        <v>0</v>
      </c>
    </row>
    <row r="90" spans="1:18" x14ac:dyDescent="0.3">
      <c r="A90" s="3" t="s">
        <v>59</v>
      </c>
      <c r="B90" s="3"/>
      <c r="C90" s="3"/>
    </row>
    <row r="91" spans="1:18" x14ac:dyDescent="0.3">
      <c r="A91" s="11"/>
      <c r="B91" s="11" t="s">
        <v>23</v>
      </c>
      <c r="C91" s="11" t="s">
        <v>22</v>
      </c>
      <c r="D91" s="11" t="s">
        <v>11</v>
      </c>
      <c r="E91" s="11" t="s">
        <v>10</v>
      </c>
      <c r="F91" s="11" t="s">
        <v>9</v>
      </c>
      <c r="G91" s="11" t="s">
        <v>8</v>
      </c>
      <c r="H91" s="11" t="s">
        <v>5</v>
      </c>
      <c r="I91" s="11" t="s">
        <v>6</v>
      </c>
      <c r="J91" s="11" t="s">
        <v>7</v>
      </c>
      <c r="K91" s="11" t="s">
        <v>4</v>
      </c>
      <c r="L91" s="11" t="s">
        <v>3</v>
      </c>
      <c r="M91" s="11" t="s">
        <v>2</v>
      </c>
      <c r="N91" s="11" t="s">
        <v>1</v>
      </c>
      <c r="O91" s="11" t="s">
        <v>21</v>
      </c>
      <c r="P91" s="11" t="s">
        <v>27</v>
      </c>
    </row>
    <row r="92" spans="1:18" x14ac:dyDescent="0.3">
      <c r="A92" s="11" t="s">
        <v>39</v>
      </c>
      <c r="B92" s="32">
        <f t="shared" ref="B92:P92" si="17">B28/B64</f>
        <v>4.6986077224651348</v>
      </c>
      <c r="C92" s="32">
        <f t="shared" si="17"/>
        <v>3.6736161140184476</v>
      </c>
      <c r="D92" s="32">
        <f t="shared" si="17"/>
        <v>4.0044253663874159</v>
      </c>
      <c r="E92" s="32">
        <f t="shared" si="17"/>
        <v>3.3845442870996756</v>
      </c>
      <c r="F92" s="32">
        <f t="shared" si="17"/>
        <v>4.1105508822462591</v>
      </c>
      <c r="G92" s="32">
        <f t="shared" si="17"/>
        <v>4.2198403263468629</v>
      </c>
      <c r="H92" s="32">
        <f t="shared" si="17"/>
        <v>4.693512391189822</v>
      </c>
      <c r="I92" s="32">
        <f t="shared" si="17"/>
        <v>4.9873457659576417</v>
      </c>
      <c r="J92" s="32">
        <f t="shared" si="17"/>
        <v>3.4607089142679319</v>
      </c>
      <c r="K92" s="32">
        <f t="shared" si="17"/>
        <v>3.5370911285271549</v>
      </c>
      <c r="L92" s="32">
        <f t="shared" si="17"/>
        <v>5.326282790632817</v>
      </c>
      <c r="M92" s="32">
        <f t="shared" si="17"/>
        <v>5.6555033496678222</v>
      </c>
      <c r="N92" s="32">
        <f t="shared" si="17"/>
        <v>5.6054608224270792</v>
      </c>
      <c r="O92" s="32">
        <f t="shared" si="17"/>
        <v>5.8129787001715671</v>
      </c>
      <c r="P92" s="32">
        <f t="shared" si="17"/>
        <v>5.4695020000000003</v>
      </c>
      <c r="Q92" s="79"/>
    </row>
    <row r="93" spans="1:18" x14ac:dyDescent="0.3">
      <c r="A93" s="11" t="s">
        <v>41</v>
      </c>
      <c r="B93" s="32">
        <f t="shared" ref="B93:N93" si="18">B31/B64</f>
        <v>4.0757557368251485</v>
      </c>
      <c r="C93" s="32">
        <f t="shared" si="18"/>
        <v>4.134145016209489</v>
      </c>
      <c r="D93" s="32">
        <f t="shared" si="18"/>
        <v>4.1303030699264829</v>
      </c>
      <c r="E93" s="32">
        <f t="shared" si="18"/>
        <v>3.6738712750166185</v>
      </c>
      <c r="F93" s="32">
        <f t="shared" si="18"/>
        <v>3.8682734972612192</v>
      </c>
      <c r="G93" s="32">
        <f t="shared" si="18"/>
        <v>4.1986299419926194</v>
      </c>
      <c r="H93" s="32">
        <f t="shared" si="18"/>
        <v>4.2155768346877389</v>
      </c>
      <c r="I93" s="32">
        <f t="shared" si="18"/>
        <v>4.7106919403575969</v>
      </c>
      <c r="J93" s="32">
        <f t="shared" si="18"/>
        <v>3.2866448520304963</v>
      </c>
      <c r="K93" s="32">
        <f t="shared" si="18"/>
        <v>3.5298412276444062</v>
      </c>
      <c r="L93" s="32">
        <f t="shared" si="18"/>
        <v>4.9831712600726856</v>
      </c>
      <c r="M93" s="32">
        <f t="shared" si="18"/>
        <v>5.0524342583555768</v>
      </c>
      <c r="N93" s="32">
        <f t="shared" si="18"/>
        <v>4.7869893936587706</v>
      </c>
      <c r="O93" s="32"/>
      <c r="P93" s="32"/>
      <c r="Q93" s="81"/>
    </row>
    <row r="94" spans="1:18" x14ac:dyDescent="0.3">
      <c r="A94" s="2" t="s">
        <v>40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1</v>
      </c>
      <c r="P94" s="2">
        <v>0</v>
      </c>
    </row>
    <row r="97" spans="1:17" x14ac:dyDescent="0.3">
      <c r="A97" s="3" t="s">
        <v>55</v>
      </c>
      <c r="B97" s="3"/>
      <c r="C97" s="3"/>
      <c r="D97" s="31"/>
      <c r="E97" s="1"/>
      <c r="H97" s="3"/>
    </row>
    <row r="98" spans="1:17" x14ac:dyDescent="0.3">
      <c r="A98" s="9"/>
      <c r="B98" s="9" t="s">
        <v>23</v>
      </c>
      <c r="C98" s="9" t="s">
        <v>22</v>
      </c>
      <c r="D98" s="34" t="s">
        <v>11</v>
      </c>
      <c r="E98" s="34" t="s">
        <v>10</v>
      </c>
      <c r="F98" s="34" t="s">
        <v>9</v>
      </c>
      <c r="G98" s="34" t="s">
        <v>8</v>
      </c>
      <c r="H98" s="34" t="s">
        <v>5</v>
      </c>
      <c r="I98" s="34" t="s">
        <v>6</v>
      </c>
      <c r="J98" s="34" t="s">
        <v>7</v>
      </c>
      <c r="K98" s="34" t="s">
        <v>4</v>
      </c>
      <c r="L98" s="34" t="s">
        <v>3</v>
      </c>
      <c r="M98" s="34" t="s">
        <v>2</v>
      </c>
      <c r="N98" s="34" t="s">
        <v>1</v>
      </c>
      <c r="O98" s="34" t="s">
        <v>21</v>
      </c>
      <c r="P98" s="34" t="s">
        <v>27</v>
      </c>
    </row>
    <row r="99" spans="1:17" x14ac:dyDescent="0.3">
      <c r="A99" s="9" t="s">
        <v>39</v>
      </c>
      <c r="B99" s="37">
        <f t="shared" ref="B99:P99" si="19">B34/B64</f>
        <v>25.957005816357526</v>
      </c>
      <c r="C99" s="37">
        <f t="shared" si="19"/>
        <v>20.200348794957492</v>
      </c>
      <c r="D99" s="37">
        <f t="shared" si="19"/>
        <v>24.274013806120703</v>
      </c>
      <c r="E99" s="37">
        <f t="shared" si="19"/>
        <v>27.693453327572048</v>
      </c>
      <c r="F99" s="37">
        <f t="shared" si="19"/>
        <v>26.867965523443036</v>
      </c>
      <c r="G99" s="37">
        <f t="shared" si="19"/>
        <v>27.997254222952023</v>
      </c>
      <c r="H99" s="37">
        <f t="shared" si="19"/>
        <v>29.969404565450503</v>
      </c>
      <c r="I99" s="37">
        <f t="shared" si="19"/>
        <v>30.838645419503834</v>
      </c>
      <c r="J99" s="37">
        <f t="shared" si="19"/>
        <v>31.618134515014781</v>
      </c>
      <c r="K99" s="37">
        <f t="shared" si="19"/>
        <v>34.091974564688236</v>
      </c>
      <c r="L99" s="37">
        <f t="shared" si="19"/>
        <v>32.431873672218295</v>
      </c>
      <c r="M99" s="37">
        <f t="shared" si="19"/>
        <v>35.042341700776916</v>
      </c>
      <c r="N99" s="37">
        <f t="shared" si="19"/>
        <v>36.908941342028086</v>
      </c>
      <c r="O99" s="37">
        <f t="shared" si="19"/>
        <v>45.12824967159419</v>
      </c>
      <c r="P99" s="37">
        <f t="shared" si="19"/>
        <v>44.962135000000004</v>
      </c>
    </row>
    <row r="100" spans="1:17" x14ac:dyDescent="0.3">
      <c r="A100" s="9" t="s">
        <v>41</v>
      </c>
      <c r="B100" s="37">
        <f t="shared" ref="B100:N100" si="20">B37/B64</f>
        <v>24.693001787545445</v>
      </c>
      <c r="C100" s="37">
        <f t="shared" si="20"/>
        <v>19.561853204058895</v>
      </c>
      <c r="D100" s="37">
        <f t="shared" si="20"/>
        <v>24.597163681996921</v>
      </c>
      <c r="E100" s="37">
        <f t="shared" si="20"/>
        <v>27.199002147264689</v>
      </c>
      <c r="F100" s="37">
        <f t="shared" si="20"/>
        <v>28.440406342628304</v>
      </c>
      <c r="G100" s="37">
        <f t="shared" si="20"/>
        <v>29.114138457490771</v>
      </c>
      <c r="H100" s="37">
        <f t="shared" si="20"/>
        <v>30.780406639765356</v>
      </c>
      <c r="I100" s="37">
        <f t="shared" si="20"/>
        <v>29.642628363316437</v>
      </c>
      <c r="J100" s="37">
        <f t="shared" si="20"/>
        <v>30.98137146911467</v>
      </c>
      <c r="K100" s="37">
        <f t="shared" si="20"/>
        <v>31.309881564335857</v>
      </c>
      <c r="L100" s="37">
        <f t="shared" si="20"/>
        <v>31.735752408990685</v>
      </c>
      <c r="M100" s="37">
        <f t="shared" si="20"/>
        <v>34.921845131292798</v>
      </c>
      <c r="N100" s="37">
        <f t="shared" si="20"/>
        <v>38.989980240035628</v>
      </c>
      <c r="O100" s="34"/>
      <c r="P100" s="34"/>
      <c r="Q100" s="80"/>
    </row>
    <row r="101" spans="1:17" x14ac:dyDescent="0.3">
      <c r="A101" s="2" t="s">
        <v>40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1</v>
      </c>
      <c r="P101" s="2">
        <v>0</v>
      </c>
    </row>
    <row r="104" spans="1:17" x14ac:dyDescent="0.3">
      <c r="A104" s="3" t="s">
        <v>58</v>
      </c>
      <c r="B104" s="3"/>
      <c r="C104" s="3"/>
    </row>
    <row r="105" spans="1:17" x14ac:dyDescent="0.3">
      <c r="A105" s="13"/>
      <c r="B105" s="13" t="s">
        <v>23</v>
      </c>
      <c r="C105" s="13" t="s">
        <v>22</v>
      </c>
      <c r="D105" s="13" t="s">
        <v>11</v>
      </c>
      <c r="E105" s="13" t="s">
        <v>10</v>
      </c>
      <c r="F105" s="13" t="s">
        <v>9</v>
      </c>
      <c r="G105" s="13" t="s">
        <v>8</v>
      </c>
      <c r="H105" s="13" t="s">
        <v>5</v>
      </c>
      <c r="I105" s="13" t="s">
        <v>6</v>
      </c>
      <c r="J105" s="13" t="s">
        <v>7</v>
      </c>
      <c r="K105" s="13" t="s">
        <v>4</v>
      </c>
      <c r="L105" s="13" t="s">
        <v>3</v>
      </c>
      <c r="M105" s="13" t="s">
        <v>2</v>
      </c>
      <c r="N105" s="13" t="s">
        <v>1</v>
      </c>
      <c r="O105" s="13" t="s">
        <v>21</v>
      </c>
      <c r="P105" s="13" t="s">
        <v>27</v>
      </c>
    </row>
    <row r="106" spans="1:17" x14ac:dyDescent="0.3">
      <c r="A106" s="13" t="s">
        <v>52</v>
      </c>
      <c r="B106" s="38">
        <f t="shared" ref="B106:P106" si="21">B45/B64</f>
        <v>672.56272499433885</v>
      </c>
      <c r="C106" s="38">
        <f t="shared" si="21"/>
        <v>589.54416148938606</v>
      </c>
      <c r="D106" s="33">
        <f t="shared" si="21"/>
        <v>656.22694530210288</v>
      </c>
      <c r="E106" s="33">
        <f t="shared" si="21"/>
        <v>635.23877981699445</v>
      </c>
      <c r="F106" s="33">
        <f t="shared" si="21"/>
        <v>627.13766892137164</v>
      </c>
      <c r="G106" s="33">
        <f t="shared" si="21"/>
        <v>751.497346532915</v>
      </c>
      <c r="H106" s="33">
        <f t="shared" si="21"/>
        <v>695.39578524538092</v>
      </c>
      <c r="I106" s="33">
        <f t="shared" si="21"/>
        <v>682.51599517156808</v>
      </c>
      <c r="J106" s="33">
        <f t="shared" si="21"/>
        <v>704.39312728426955</v>
      </c>
      <c r="K106" s="33">
        <f t="shared" si="21"/>
        <v>729.60448305508817</v>
      </c>
      <c r="L106" s="33">
        <f t="shared" si="21"/>
        <v>759.64675229743511</v>
      </c>
      <c r="M106" s="33">
        <f t="shared" si="21"/>
        <v>795.43487166992145</v>
      </c>
      <c r="N106" s="33">
        <f t="shared" si="21"/>
        <v>889.37223915058109</v>
      </c>
      <c r="O106" s="33">
        <f t="shared" si="21"/>
        <v>899.74090042763805</v>
      </c>
      <c r="P106" s="33">
        <f t="shared" si="21"/>
        <v>880.67815099999996</v>
      </c>
    </row>
    <row r="107" spans="1:17" x14ac:dyDescent="0.3">
      <c r="A107" s="13" t="s">
        <v>53</v>
      </c>
      <c r="B107" s="38">
        <f t="shared" ref="B107:N107" si="22">B46/B64</f>
        <v>650.51131817554187</v>
      </c>
      <c r="C107" s="38">
        <f t="shared" si="22"/>
        <v>578.43533022191446</v>
      </c>
      <c r="D107" s="38">
        <f t="shared" si="22"/>
        <v>678.91678851085658</v>
      </c>
      <c r="E107" s="38">
        <f t="shared" si="22"/>
        <v>619.79439995307541</v>
      </c>
      <c r="F107" s="38">
        <f t="shared" si="22"/>
        <v>587.07329148906786</v>
      </c>
      <c r="G107" s="38">
        <f t="shared" si="22"/>
        <v>687.26441741697408</v>
      </c>
      <c r="H107" s="38">
        <f t="shared" si="22"/>
        <v>650.47880655345693</v>
      </c>
      <c r="I107" s="38">
        <f t="shared" si="22"/>
        <v>672.46120034634373</v>
      </c>
      <c r="J107" s="38">
        <f t="shared" si="22"/>
        <v>675.10796985840977</v>
      </c>
      <c r="K107" s="38">
        <f t="shared" si="22"/>
        <v>724.83973865594464</v>
      </c>
      <c r="L107" s="38">
        <f t="shared" si="22"/>
        <v>746.79198107563991</v>
      </c>
      <c r="M107" s="38">
        <f t="shared" si="22"/>
        <v>794.42016343587159</v>
      </c>
      <c r="N107" s="38">
        <f t="shared" si="22"/>
        <v>751.02256368540907</v>
      </c>
      <c r="O107" s="33"/>
      <c r="P107" s="33"/>
    </row>
    <row r="108" spans="1:17" x14ac:dyDescent="0.3">
      <c r="A108" s="2" t="s">
        <v>40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1</v>
      </c>
      <c r="P108" s="2">
        <v>0</v>
      </c>
    </row>
    <row r="111" spans="1:17" x14ac:dyDescent="0.3">
      <c r="A111" s="3" t="s">
        <v>54</v>
      </c>
    </row>
    <row r="112" spans="1:17" x14ac:dyDescent="0.3">
      <c r="A112" s="42"/>
      <c r="B112" s="42" t="s">
        <v>23</v>
      </c>
      <c r="C112" s="42" t="s">
        <v>22</v>
      </c>
      <c r="D112" s="42" t="s">
        <v>11</v>
      </c>
      <c r="E112" s="42" t="s">
        <v>10</v>
      </c>
      <c r="F112" s="42" t="s">
        <v>9</v>
      </c>
      <c r="G112" s="42" t="s">
        <v>8</v>
      </c>
      <c r="H112" s="42" t="s">
        <v>5</v>
      </c>
      <c r="I112" s="42" t="s">
        <v>6</v>
      </c>
      <c r="J112" s="42" t="s">
        <v>7</v>
      </c>
      <c r="K112" s="42" t="s">
        <v>4</v>
      </c>
      <c r="L112" s="42" t="s">
        <v>3</v>
      </c>
      <c r="M112" s="42" t="s">
        <v>2</v>
      </c>
      <c r="N112" s="42" t="s">
        <v>1</v>
      </c>
      <c r="O112" s="42" t="s">
        <v>21</v>
      </c>
      <c r="P112" s="42" t="s">
        <v>27</v>
      </c>
    </row>
    <row r="113" spans="1:17" x14ac:dyDescent="0.3">
      <c r="A113" s="42" t="s">
        <v>26</v>
      </c>
      <c r="B113" s="43">
        <f t="shared" ref="B113:P113" si="23">B69+B77</f>
        <v>4.6837519586689371</v>
      </c>
      <c r="C113" s="43">
        <f t="shared" si="23"/>
        <v>3.8742405668001569</v>
      </c>
      <c r="D113" s="43">
        <f t="shared" si="23"/>
        <v>4.2574842482475628</v>
      </c>
      <c r="E113" s="43">
        <f t="shared" si="23"/>
        <v>4.662690550815312</v>
      </c>
      <c r="F113" s="43">
        <f t="shared" si="23"/>
        <v>4.7265905461173761</v>
      </c>
      <c r="G113" s="43">
        <f t="shared" si="23"/>
        <v>4.5572729135793351</v>
      </c>
      <c r="H113" s="43">
        <f t="shared" si="23"/>
        <v>5.1266520327299219</v>
      </c>
      <c r="I113" s="43">
        <f t="shared" si="23"/>
        <v>5.3897521634942311</v>
      </c>
      <c r="J113" s="43">
        <f t="shared" si="23"/>
        <v>5.4454240398319591</v>
      </c>
      <c r="K113" s="43">
        <f t="shared" si="23"/>
        <v>5.5409004935081354</v>
      </c>
      <c r="L113" s="43">
        <f t="shared" si="23"/>
        <v>5.6034280925562783</v>
      </c>
      <c r="M113" s="43">
        <f t="shared" si="23"/>
        <v>5.7442382910018157</v>
      </c>
      <c r="N113" s="43">
        <f t="shared" si="23"/>
        <v>6.1283058469398899</v>
      </c>
      <c r="O113" s="43">
        <f t="shared" si="23"/>
        <v>6.3583408814792985</v>
      </c>
      <c r="P113" s="43">
        <f t="shared" si="23"/>
        <v>5.9402280000000003</v>
      </c>
    </row>
    <row r="114" spans="1:17" x14ac:dyDescent="0.3">
      <c r="A114" s="42" t="s">
        <v>41</v>
      </c>
      <c r="B114" s="43">
        <f t="shared" ref="B114:N114" si="24">B70+B78</f>
        <v>4.6237205793712892</v>
      </c>
      <c r="C114" s="43">
        <f t="shared" si="24"/>
        <v>3.6940083525739467</v>
      </c>
      <c r="D114" s="43">
        <f t="shared" si="24"/>
        <v>4.1837241675500083</v>
      </c>
      <c r="E114" s="43">
        <f t="shared" si="24"/>
        <v>3.8743720417627965</v>
      </c>
      <c r="F114" s="43">
        <f t="shared" si="24"/>
        <v>4.4788386030471798</v>
      </c>
      <c r="G114" s="43">
        <f t="shared" si="24"/>
        <v>4.7479161741697409</v>
      </c>
      <c r="H114" s="43">
        <f t="shared" si="24"/>
        <v>4.89054740585477</v>
      </c>
      <c r="I114" s="43">
        <f t="shared" si="24"/>
        <v>4.943006839484223</v>
      </c>
      <c r="J114" s="43">
        <f t="shared" si="24"/>
        <v>5.1770960585031895</v>
      </c>
      <c r="K114" s="43">
        <f t="shared" si="24"/>
        <v>5.2989310991082155</v>
      </c>
      <c r="L114" s="43">
        <f t="shared" si="24"/>
        <v>5.409349478704212</v>
      </c>
      <c r="M114" s="43">
        <f t="shared" si="24"/>
        <v>5.5886971275744726</v>
      </c>
      <c r="N114" s="43">
        <f t="shared" si="24"/>
        <v>5.6071339416297619</v>
      </c>
      <c r="O114" s="43"/>
      <c r="P114" s="43"/>
    </row>
    <row r="115" spans="1:17" x14ac:dyDescent="0.3">
      <c r="A115" s="2" t="s">
        <v>40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1</v>
      </c>
      <c r="P115" s="2">
        <v>0</v>
      </c>
    </row>
    <row r="117" spans="1:17" ht="13.5" customHeight="1" x14ac:dyDescent="0.3"/>
    <row r="118" spans="1:17" ht="13.5" customHeight="1" x14ac:dyDescent="0.3"/>
    <row r="119" spans="1:17" ht="13.5" customHeight="1" x14ac:dyDescent="0.3">
      <c r="A119" s="3" t="s">
        <v>57</v>
      </c>
      <c r="C119" s="49"/>
    </row>
    <row r="120" spans="1:17" ht="13.5" customHeight="1" x14ac:dyDescent="0.3">
      <c r="A120" s="2"/>
      <c r="B120" s="52" t="s">
        <v>23</v>
      </c>
      <c r="C120" s="52" t="s">
        <v>22</v>
      </c>
      <c r="D120" s="52" t="s">
        <v>11</v>
      </c>
      <c r="E120" s="52" t="s">
        <v>10</v>
      </c>
      <c r="F120" s="52" t="s">
        <v>9</v>
      </c>
      <c r="G120" s="52" t="s">
        <v>8</v>
      </c>
      <c r="H120" s="52" t="s">
        <v>5</v>
      </c>
      <c r="I120" s="52" t="s">
        <v>6</v>
      </c>
      <c r="J120" s="52" t="s">
        <v>7</v>
      </c>
      <c r="K120" s="52" t="s">
        <v>4</v>
      </c>
      <c r="L120" s="52" t="s">
        <v>3</v>
      </c>
      <c r="M120" s="52" t="s">
        <v>2</v>
      </c>
      <c r="N120" s="52" t="s">
        <v>1</v>
      </c>
      <c r="O120" s="52" t="s">
        <v>21</v>
      </c>
      <c r="P120" s="52" t="s">
        <v>27</v>
      </c>
    </row>
    <row r="121" spans="1:17" ht="13.5" customHeight="1" x14ac:dyDescent="0.3">
      <c r="A121" s="52" t="s">
        <v>39</v>
      </c>
      <c r="B121" s="53">
        <f t="shared" ref="B121:P121" si="25">B50/B64</f>
        <v>8.7725226676485468E-2</v>
      </c>
      <c r="C121" s="53">
        <f t="shared" si="25"/>
        <v>7.6521072335471174E-2</v>
      </c>
      <c r="D121" s="53">
        <f t="shared" si="25"/>
        <v>7.6674987177295262E-2</v>
      </c>
      <c r="E121" s="53">
        <f t="shared" si="25"/>
        <v>6.1702694247839515E-2</v>
      </c>
      <c r="F121" s="53">
        <f t="shared" si="25"/>
        <v>5.8105334867663977E-2</v>
      </c>
      <c r="G121" s="53">
        <f t="shared" si="25"/>
        <v>5.822594095940959E-2</v>
      </c>
      <c r="H121" s="53">
        <f t="shared" si="25"/>
        <v>5.895581834145977E-2</v>
      </c>
      <c r="I121" s="53">
        <f t="shared" si="25"/>
        <v>5.784334246725991E-2</v>
      </c>
      <c r="J121" s="53">
        <f t="shared" si="25"/>
        <v>5.7768165551579279E-2</v>
      </c>
      <c r="K121" s="53">
        <f t="shared" si="25"/>
        <v>5.7028036538756918E-2</v>
      </c>
      <c r="L121" s="53">
        <f t="shared" si="25"/>
        <v>5.5008166217829724E-2</v>
      </c>
      <c r="M121" s="53">
        <f t="shared" si="25"/>
        <v>5.3827848230809244E-2</v>
      </c>
      <c r="N121" s="53">
        <f t="shared" si="25"/>
        <v>5.3039874284657861E-2</v>
      </c>
      <c r="O121" s="53">
        <f t="shared" si="25"/>
        <v>5.4691194565273903E-2</v>
      </c>
      <c r="P121" s="53">
        <f t="shared" si="25"/>
        <v>5.0500000000000003E-2</v>
      </c>
      <c r="Q121" s="83"/>
    </row>
    <row r="122" spans="1:17" ht="13.5" customHeight="1" x14ac:dyDescent="0.3">
      <c r="A122" s="52" t="s">
        <v>47</v>
      </c>
      <c r="B122" s="69">
        <f t="shared" ref="B122:N122" si="26">B51/B64</f>
        <v>8.4889257053435807E-2</v>
      </c>
      <c r="C122" s="69">
        <f t="shared" si="26"/>
        <v>6.133101225497576E-2</v>
      </c>
      <c r="D122" s="69">
        <f t="shared" si="26"/>
        <v>5.3329339032313211E-2</v>
      </c>
      <c r="E122" s="69">
        <f t="shared" si="26"/>
        <v>5.4310589293395377E-2</v>
      </c>
      <c r="F122" s="69">
        <f t="shared" si="26"/>
        <v>5.6255168957422316E-2</v>
      </c>
      <c r="G122" s="69">
        <f t="shared" si="26"/>
        <v>3.5706914169741692E-2</v>
      </c>
      <c r="H122" s="69">
        <f t="shared" si="26"/>
        <v>5.8658120644884078E-2</v>
      </c>
      <c r="I122" s="69">
        <f t="shared" si="26"/>
        <v>5.6369196293886377E-2</v>
      </c>
      <c r="J122" s="69">
        <f t="shared" si="26"/>
        <v>5.6458372491053371E-2</v>
      </c>
      <c r="K122" s="69">
        <f t="shared" si="26"/>
        <v>5.2538066770873804E-2</v>
      </c>
      <c r="L122" s="69">
        <f t="shared" si="26"/>
        <v>5.4601868277250498E-2</v>
      </c>
      <c r="M122" s="69">
        <f t="shared" si="26"/>
        <v>5.0733546381026284E-2</v>
      </c>
      <c r="N122" s="69">
        <f t="shared" si="26"/>
        <v>3.3596821754804669E-2</v>
      </c>
      <c r="O122" s="52"/>
      <c r="P122" s="52"/>
    </row>
    <row r="123" spans="1:17" ht="13.5" customHeight="1" x14ac:dyDescent="0.3">
      <c r="A123" s="52" t="s">
        <v>40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1</v>
      </c>
      <c r="P123" s="2">
        <v>0</v>
      </c>
    </row>
    <row r="124" spans="1:17" ht="13.5" customHeight="1" x14ac:dyDescent="0.3"/>
    <row r="125" spans="1:17" ht="13.5" customHeight="1" x14ac:dyDescent="0.3"/>
    <row r="126" spans="1:17" x14ac:dyDescent="0.3">
      <c r="A126" s="3" t="s">
        <v>25</v>
      </c>
    </row>
    <row r="127" spans="1:17" x14ac:dyDescent="0.3">
      <c r="A127" s="2" t="s">
        <v>24</v>
      </c>
      <c r="B127" s="2"/>
      <c r="C127" s="2" t="s">
        <v>36</v>
      </c>
      <c r="D127" s="51"/>
      <c r="E127" s="2"/>
      <c r="F127" s="2"/>
    </row>
    <row r="128" spans="1:17" x14ac:dyDescent="0.3">
      <c r="A128" s="2" t="s">
        <v>37</v>
      </c>
      <c r="B128" s="2"/>
      <c r="C128" s="50">
        <v>44340</v>
      </c>
      <c r="D128" s="2"/>
      <c r="E128" s="2"/>
      <c r="F128" s="2"/>
    </row>
    <row r="131" spans="3:3" x14ac:dyDescent="0.3">
      <c r="C131" s="49"/>
    </row>
  </sheetData>
  <mergeCells count="1">
    <mergeCell ref="Q63:Q64"/>
  </mergeCells>
  <hyperlinks>
    <hyperlink ref="Q56" r:id="rId1" xr:uid="{2ED1AB34-EE62-4B86-9525-C287315B7C2F}"/>
    <hyperlink ref="Q63" r:id="rId2" xr:uid="{4723002B-BD76-41F7-9181-38FFD043A87F}"/>
  </hyperlinks>
  <pageMargins left="0.7" right="0.7" top="0.75" bottom="0.75" header="0.3" footer="0.3"/>
  <pageSetup paperSize="9"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Husnia</dc:creator>
  <cp:lastModifiedBy>Anne Moorhead</cp:lastModifiedBy>
  <dcterms:created xsi:type="dcterms:W3CDTF">2015-06-05T18:17:20Z</dcterms:created>
  <dcterms:modified xsi:type="dcterms:W3CDTF">2023-06-08T06:15:16Z</dcterms:modified>
</cp:coreProperties>
</file>